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ducts\Mortgages\Calculators\"/>
    </mc:Choice>
  </mc:AlternateContent>
  <xr:revisionPtr revIDLastSave="0" documentId="8_{97DBA4B1-A14A-47F6-99F2-E66ADBF4CBBB}" xr6:coauthVersionLast="31" xr6:coauthVersionMax="31" xr10:uidLastSave="{00000000-0000-0000-0000-000000000000}"/>
  <workbookProtection workbookAlgorithmName="SHA-512" workbookHashValue="BEEktOxow+CY5gkFPRAttghv2nOMxUssXc5CJ8bWkvqule9Ao2XHV0ZbuBlMxE64LjueEJV1SWilpGPaSnMmyA==" workbookSaltValue="Bvh67KbgEfOKSesQfN1gUw==" workbookSpinCount="100000" lockStructure="1"/>
  <bookViews>
    <workbookView xWindow="6105" yWindow="690" windowWidth="15105" windowHeight="8295" xr2:uid="{00000000-000D-0000-FFFF-FFFF00000000}"/>
  </bookViews>
  <sheets>
    <sheet name="Income" sheetId="1" r:id="rId1"/>
    <sheet name="Expenditure" sheetId="15" r:id="rId2"/>
    <sheet name="Results" sheetId="3" r:id="rId3"/>
    <sheet name="Calc" sheetId="7" state="hidden" r:id="rId4"/>
    <sheet name="Lists" sheetId="17" state="hidden" r:id="rId5"/>
    <sheet name="Income Calculator" sheetId="14" state="hidden" r:id="rId6"/>
    <sheet name="Part &amp; Part" sheetId="9" state="hidden" r:id="rId7"/>
    <sheet name="ONS Data" sheetId="16" state="hidden" r:id="rId8"/>
    <sheet name="BTL Product Data" sheetId="10" state="hidden" r:id="rId9"/>
    <sheet name="ONS Data BTL" sheetId="19" state="hidden" r:id="rId10"/>
    <sheet name="Income Multiplier" sheetId="12" state="hidden" r:id="rId11"/>
  </sheets>
  <externalReferences>
    <externalReference r:id="rId12"/>
    <externalReference r:id="rId13"/>
    <externalReference r:id="rId14"/>
  </externalReferences>
  <definedNames>
    <definedName name="GL">#REF!</definedName>
    <definedName name="greaterL">#REF!</definedName>
    <definedName name="GreaterLDN">'ONS Data BTL'!$A$10:$B$29</definedName>
    <definedName name="greaterlondon">#REF!</definedName>
    <definedName name="_xlnm.Print_Area" localSheetId="1">Expenditure!$A$1:$T$34</definedName>
    <definedName name="_xlnm.Print_Area" localSheetId="0">Income!$A$1:$I$26</definedName>
    <definedName name="_xlnm.Print_Area" localSheetId="2">Results!$A$1:$Q$43</definedName>
    <definedName name="prodrate" localSheetId="1">[1]Results!#REF!</definedName>
    <definedName name="prodrate" localSheetId="5">[2]Results!#REF!</definedName>
    <definedName name="prodrate" localSheetId="7">[3]Results!#REF!</definedName>
    <definedName name="prodrate">Results!#REF!</definedName>
    <definedName name="Query_from_DPR_DMART" localSheetId="8" hidden="1">'BTL Product Data'!$A$1:$L$14</definedName>
  </definedNames>
  <calcPr calcId="179017"/>
</workbook>
</file>

<file path=xl/calcChain.xml><?xml version="1.0" encoding="utf-8"?>
<calcChain xmlns="http://schemas.openxmlformats.org/spreadsheetml/2006/main">
  <c r="L26" i="16" l="1"/>
  <c r="L25" i="16"/>
  <c r="L14" i="16"/>
  <c r="L13" i="16"/>
  <c r="L12" i="16"/>
  <c r="L11" i="16"/>
  <c r="L10" i="16"/>
  <c r="L9" i="16"/>
  <c r="L8" i="16"/>
  <c r="L7" i="16"/>
  <c r="L6" i="16"/>
  <c r="J46" i="3" l="1"/>
  <c r="E13" i="19" l="1"/>
  <c r="G13" i="19" l="1"/>
  <c r="H7" i="3" l="1"/>
  <c r="I3" i="14" l="1"/>
  <c r="I5" i="14" s="1"/>
  <c r="I6" i="14" s="1"/>
  <c r="I7" i="14" s="1"/>
  <c r="G3" i="14"/>
  <c r="G8" i="14" s="1"/>
  <c r="G9" i="14" s="1"/>
  <c r="M7" i="15"/>
  <c r="M8" i="15"/>
  <c r="M9" i="15"/>
  <c r="M10" i="15"/>
  <c r="M11" i="15"/>
  <c r="M12" i="15"/>
  <c r="M6" i="15"/>
  <c r="H12" i="15"/>
  <c r="G12" i="15"/>
  <c r="I8" i="14" l="1"/>
  <c r="I9" i="14" s="1"/>
  <c r="I10" i="14"/>
  <c r="G5" i="14"/>
  <c r="G6" i="14" s="1"/>
  <c r="G7" i="14" s="1"/>
  <c r="G10" i="14"/>
  <c r="G20" i="14" s="1"/>
  <c r="L10" i="1"/>
  <c r="I2" i="14" s="1"/>
  <c r="J10" i="1"/>
  <c r="G2" i="14" s="1"/>
  <c r="I20" i="14" l="1"/>
  <c r="E3" i="14"/>
  <c r="B3" i="14"/>
  <c r="O27" i="15" l="1"/>
  <c r="O24" i="15"/>
  <c r="O18" i="15"/>
  <c r="C36" i="14" l="1"/>
  <c r="C35" i="14"/>
  <c r="C30" i="14"/>
  <c r="C29" i="14"/>
  <c r="C28" i="14"/>
  <c r="A10" i="14"/>
  <c r="A8" i="14"/>
  <c r="H20" i="3"/>
  <c r="I12" i="14" l="1"/>
  <c r="G12" i="14"/>
  <c r="O25" i="15"/>
  <c r="G13" i="14" l="1"/>
  <c r="G14" i="14"/>
  <c r="G15" i="14" s="1"/>
  <c r="G16" i="14"/>
  <c r="G17" i="14" s="1"/>
  <c r="G19" i="14" s="1"/>
  <c r="G22" i="14" s="1"/>
  <c r="G24" i="14" s="1"/>
  <c r="J12" i="1" s="1"/>
  <c r="I13" i="14"/>
  <c r="I14" i="14"/>
  <c r="I15" i="14" s="1"/>
  <c r="I16" i="14"/>
  <c r="I17" i="14" s="1"/>
  <c r="I19" i="14" s="1"/>
  <c r="I22" i="14" s="1"/>
  <c r="I24" i="14" s="1"/>
  <c r="L12" i="1" s="1"/>
  <c r="M18" i="15"/>
  <c r="F29" i="15"/>
  <c r="M28" i="15"/>
  <c r="M27" i="15"/>
  <c r="M26" i="15"/>
  <c r="M25" i="15"/>
  <c r="M24" i="15"/>
  <c r="M20" i="15"/>
  <c r="M19" i="15"/>
  <c r="I12" i="15"/>
  <c r="F12" i="15"/>
  <c r="B1" i="15"/>
  <c r="M29" i="15" l="1"/>
  <c r="H10" i="3" l="1"/>
  <c r="H9" i="3"/>
  <c r="H12" i="3"/>
  <c r="H13" i="3"/>
  <c r="H11" i="3"/>
  <c r="H24" i="3" l="1"/>
  <c r="H22" i="3"/>
  <c r="B1" i="3" l="1"/>
  <c r="B1" i="1"/>
  <c r="F10" i="1"/>
  <c r="B2" i="14" s="1"/>
  <c r="G15" i="9"/>
  <c r="H10" i="1"/>
  <c r="E8" i="14" l="1"/>
  <c r="E9" i="14" s="1"/>
  <c r="E2" i="14"/>
  <c r="B8" i="14"/>
  <c r="E10" i="14"/>
  <c r="E5" i="14"/>
  <c r="E6" i="14" s="1"/>
  <c r="E7" i="14" s="1"/>
  <c r="E12" i="14" s="1"/>
  <c r="I46" i="3"/>
  <c r="E20" i="14" l="1"/>
  <c r="B5" i="14"/>
  <c r="B6" i="14" s="1"/>
  <c r="B7" i="14" s="1"/>
  <c r="B10" i="14"/>
  <c r="B9" i="14"/>
  <c r="E14" i="14"/>
  <c r="E15" i="14" s="1"/>
  <c r="E13" i="14"/>
  <c r="E16" i="14" l="1"/>
  <c r="E17" i="14" s="1"/>
  <c r="E19" i="14" s="1"/>
  <c r="E22" i="14" s="1"/>
  <c r="E24" i="14" s="1"/>
  <c r="H12" i="1" s="1"/>
  <c r="B20" i="14"/>
  <c r="B12" i="14"/>
  <c r="B14" i="14" l="1"/>
  <c r="E14" i="19" s="1"/>
  <c r="B13" i="14"/>
  <c r="M18" i="3" l="1"/>
  <c r="H31" i="3" s="1"/>
  <c r="G14" i="19"/>
  <c r="O16" i="15"/>
  <c r="M16" i="15" s="1"/>
  <c r="B16" i="14"/>
  <c r="B17" i="14" s="1"/>
  <c r="B15" i="14"/>
  <c r="H29" i="3" l="1"/>
  <c r="H26" i="3"/>
  <c r="H48" i="3" s="1"/>
  <c r="B19" i="14"/>
  <c r="B22" i="14" s="1"/>
  <c r="H36" i="3" l="1"/>
  <c r="H38" i="3" s="1"/>
  <c r="H46" i="3"/>
  <c r="F17" i="15"/>
  <c r="M17" i="15" s="1"/>
  <c r="M21" i="15" s="1"/>
  <c r="M32" i="15" s="1"/>
  <c r="B24" i="14"/>
  <c r="F12" i="1" s="1"/>
  <c r="F21" i="15" l="1"/>
  <c r="F32" i="15" s="1"/>
  <c r="H42" i="3" s="1"/>
  <c r="M16" i="9"/>
  <c r="M13" i="9"/>
  <c r="F2" i="7" l="1"/>
  <c r="F3" i="7" s="1"/>
  <c r="A1" i="7" s="1"/>
  <c r="H44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from DPR_DMART" type="1" refreshedVersion="6" background="1" saveData="1">
    <dbPr connection="DRIVER=SQL Server;SERVER=DBS-SQL01\DBS2016;UID=DUD00177;Trusted_Connection=Yes;APP=Microsoft Office 2016;WSID=DBS-RDS01;DATABASE=DPR_DMART" command="exec Output_Active_BTL_Product_Rates 1"/>
  </connection>
</connections>
</file>

<file path=xl/sharedStrings.xml><?xml version="1.0" encoding="utf-8"?>
<sst xmlns="http://schemas.openxmlformats.org/spreadsheetml/2006/main" count="380" uniqueCount="241">
  <si>
    <t>Applicant 1</t>
  </si>
  <si>
    <t>Applicant 2</t>
  </si>
  <si>
    <t>Personal Tax Allowance</t>
  </si>
  <si>
    <t>Total</t>
  </si>
  <si>
    <t>Monthly Net Income</t>
  </si>
  <si>
    <t>Expenditure</t>
  </si>
  <si>
    <t>Communication</t>
  </si>
  <si>
    <t>Health</t>
  </si>
  <si>
    <t>Food/Groceries</t>
  </si>
  <si>
    <t>Alcohol/Cigarettes</t>
  </si>
  <si>
    <t>Clothing</t>
  </si>
  <si>
    <t>Recreation</t>
  </si>
  <si>
    <t>Transport</t>
  </si>
  <si>
    <t>Monthly</t>
  </si>
  <si>
    <t>A</t>
  </si>
  <si>
    <t>B</t>
  </si>
  <si>
    <t>C</t>
  </si>
  <si>
    <t>D</t>
  </si>
  <si>
    <t>E</t>
  </si>
  <si>
    <t>F</t>
  </si>
  <si>
    <t>G</t>
  </si>
  <si>
    <t>Household Expenditure</t>
  </si>
  <si>
    <t>Free Disposable Income</t>
  </si>
  <si>
    <t>Mortgage</t>
  </si>
  <si>
    <t>Total Loan</t>
  </si>
  <si>
    <t>Current SVR</t>
  </si>
  <si>
    <t>Term in Years</t>
  </si>
  <si>
    <t>Stressed Interest Rate</t>
  </si>
  <si>
    <t>Stressed Monthly Payment</t>
  </si>
  <si>
    <t>Mortgage Payment as % of Disp Income</t>
  </si>
  <si>
    <t>Income Multiplier Test</t>
  </si>
  <si>
    <t>Expenditure From Budget Planner</t>
  </si>
  <si>
    <t>Expenditure Used</t>
  </si>
  <si>
    <t xml:space="preserve">Credit Commitments </t>
  </si>
  <si>
    <t>Sub Total</t>
  </si>
  <si>
    <t>Committed Expenditure</t>
  </si>
  <si>
    <t>Council Tax</t>
  </si>
  <si>
    <t>Nursery/School/University Fees</t>
  </si>
  <si>
    <t>Personal Expenditure</t>
  </si>
  <si>
    <t>Total Expenditure</t>
  </si>
  <si>
    <t>Loan Repayments</t>
  </si>
  <si>
    <t>Other Standing Orders &amp; Direct Debits</t>
  </si>
  <si>
    <t>Expenditure (Monthly)</t>
  </si>
  <si>
    <t>Any Other Expenses</t>
  </si>
  <si>
    <t>Income</t>
  </si>
  <si>
    <t>Total Gross Income</t>
  </si>
  <si>
    <t>Household Code</t>
  </si>
  <si>
    <t>% Affordability Result</t>
  </si>
  <si>
    <t>Remaining Monthly Income Result</t>
  </si>
  <si>
    <t>Affordability Results</t>
  </si>
  <si>
    <t>Results</t>
  </si>
  <si>
    <t>Taxable Income</t>
  </si>
  <si>
    <t>Taxed at 20%</t>
  </si>
  <si>
    <t>Amount To Be Taxed at 20%</t>
  </si>
  <si>
    <t>Taxed at 40%</t>
  </si>
  <si>
    <t>Taxed at 45%</t>
  </si>
  <si>
    <t>Amount To Be Taxed at 40%</t>
  </si>
  <si>
    <t>Amount To Be Taxed at 45%</t>
  </si>
  <si>
    <t>Tax Deductions</t>
  </si>
  <si>
    <t>NI Deductions</t>
  </si>
  <si>
    <t>PASS</t>
  </si>
  <si>
    <t>Equal to or less than 45%</t>
  </si>
  <si>
    <t>REFER</t>
  </si>
  <si>
    <t xml:space="preserve">DECLINE </t>
  </si>
  <si>
    <t>Greater than 55%</t>
  </si>
  <si>
    <t>46% - 55%  (Exception may be excercised)</t>
  </si>
  <si>
    <t>Remaining Monthly Income Result*</t>
  </si>
  <si>
    <t>*Household Expenditure Test</t>
  </si>
  <si>
    <t>The borrower has enough income to cover the mortgage payment, financial commitments and their household expenditure</t>
  </si>
  <si>
    <t>FAIL</t>
  </si>
  <si>
    <t>The borrower does not have enough income to cover the mortgage, their commitments and their household expenditure</t>
  </si>
  <si>
    <t>Credit Card / Store Card Monthly Payments *</t>
  </si>
  <si>
    <t>Expenditure From Credit Check / App</t>
  </si>
  <si>
    <t>ONS</t>
  </si>
  <si>
    <t>Remaining Monthly Income</t>
  </si>
  <si>
    <t>Maintenance / CSA Payments</t>
  </si>
  <si>
    <t>Cost of Repayment Strategy (Interest Only)</t>
  </si>
  <si>
    <t>Is the loan Capital &amp; Interest or Interest Only - Input C or I</t>
  </si>
  <si>
    <t>How to Calculate Part and Part Affordability</t>
  </si>
  <si>
    <t>Input income information on the 'Income' tab as with all assessments</t>
  </si>
  <si>
    <t>1)</t>
  </si>
  <si>
    <t>2)</t>
  </si>
  <si>
    <t>Input expenditure information on the 'Expenditure' tab as with all assessments</t>
  </si>
  <si>
    <t>3)</t>
  </si>
  <si>
    <t>4)</t>
  </si>
  <si>
    <t>Input the Term in Years</t>
  </si>
  <si>
    <t>5)</t>
  </si>
  <si>
    <r>
      <t xml:space="preserve">On the 'Results' screen input the Total Loan Amount that is to be assessed on a </t>
    </r>
    <r>
      <rPr>
        <b/>
        <sz val="11"/>
        <color indexed="8"/>
        <rFont val="Calibri"/>
        <family val="2"/>
      </rPr>
      <t>Capital Repayment Basis</t>
    </r>
  </si>
  <si>
    <r>
      <t>Input</t>
    </r>
    <r>
      <rPr>
        <b/>
        <sz val="11"/>
        <color indexed="8"/>
        <rFont val="Calibri"/>
        <family val="2"/>
      </rPr>
      <t xml:space="preserve"> 'C'</t>
    </r>
    <r>
      <rPr>
        <sz val="11"/>
        <color theme="1"/>
        <rFont val="Calibri"/>
        <family val="2"/>
        <scheme val="minor"/>
      </rPr>
      <t xml:space="preserve"> for Capital and Interest</t>
    </r>
  </si>
  <si>
    <t>6)</t>
  </si>
  <si>
    <t>Note down the Stressed Monthly Payment</t>
  </si>
  <si>
    <t>7)</t>
  </si>
  <si>
    <t>Note down the Remaining Monthly Income</t>
  </si>
  <si>
    <t>8)</t>
  </si>
  <si>
    <r>
      <t xml:space="preserve">Input the </t>
    </r>
    <r>
      <rPr>
        <b/>
        <sz val="11"/>
        <color indexed="8"/>
        <rFont val="Calibri"/>
        <family val="2"/>
      </rPr>
      <t>Total Loan Amount</t>
    </r>
    <r>
      <rPr>
        <sz val="11"/>
        <color theme="1"/>
        <rFont val="Calibri"/>
        <family val="2"/>
        <scheme val="minor"/>
      </rPr>
      <t xml:space="preserve"> that is to be assessed on an </t>
    </r>
    <r>
      <rPr>
        <b/>
        <sz val="11"/>
        <color indexed="8"/>
        <rFont val="Calibri"/>
        <family val="2"/>
      </rPr>
      <t>Interest Only Basis</t>
    </r>
  </si>
  <si>
    <t>9)</t>
  </si>
  <si>
    <r>
      <t xml:space="preserve">Input </t>
    </r>
    <r>
      <rPr>
        <b/>
        <sz val="11"/>
        <color indexed="8"/>
        <rFont val="Calibri"/>
        <family val="2"/>
      </rPr>
      <t>'I'</t>
    </r>
    <r>
      <rPr>
        <sz val="11"/>
        <color theme="1"/>
        <rFont val="Calibri"/>
        <family val="2"/>
        <scheme val="minor"/>
      </rPr>
      <t xml:space="preserve"> for Interest Only</t>
    </r>
  </si>
  <si>
    <t>10)</t>
  </si>
  <si>
    <t>11)</t>
  </si>
  <si>
    <t>Take away the Interest Only stressed payment from the Remaining Monthly Income previously captured</t>
  </si>
  <si>
    <t>12)</t>
  </si>
  <si>
    <t>13)</t>
  </si>
  <si>
    <t>Add the two stressed monthly payments together</t>
  </si>
  <si>
    <t xml:space="preserve">14) </t>
  </si>
  <si>
    <t>Divide the two stressed monthly payments by the total net income</t>
  </si>
  <si>
    <t>15)</t>
  </si>
  <si>
    <t>If the number is 45% of less, this is a pass</t>
  </si>
  <si>
    <t>If the number is 46% - 55%, this is a refer</t>
  </si>
  <si>
    <t>If the number is greater than 56%, this is a decline</t>
  </si>
  <si>
    <t>16)</t>
  </si>
  <si>
    <t>Input the Total Loan Amount on the 'Results' screen to view the income multiples</t>
  </si>
  <si>
    <t>If the number is a positive, the part and part affordability has passed the Remaining Income Test</t>
  </si>
  <si>
    <t>Date</t>
  </si>
  <si>
    <t>*Use 3% of total balances unless borrower declares higher monthly payment</t>
  </si>
  <si>
    <t>Ensure not negative</t>
  </si>
  <si>
    <t>Expected Rental Income PCM</t>
  </si>
  <si>
    <t>Residential Mortgage Payment / Personal Rent</t>
  </si>
  <si>
    <t>ProductRateDescription</t>
  </si>
  <si>
    <t>RateValue</t>
  </si>
  <si>
    <t>Pay_Rate</t>
  </si>
  <si>
    <t>StressedRate</t>
  </si>
  <si>
    <t>scheduleType</t>
  </si>
  <si>
    <t>Fixed</t>
  </si>
  <si>
    <t>SVR</t>
  </si>
  <si>
    <t>Discounted</t>
  </si>
  <si>
    <t>FixedProdTerm</t>
  </si>
  <si>
    <t>3yr</t>
  </si>
  <si>
    <t/>
  </si>
  <si>
    <t>Product Type</t>
  </si>
  <si>
    <t>Fixed Rate Term</t>
  </si>
  <si>
    <t>If Fixed, is the rate fixed for 5 years or more</t>
  </si>
  <si>
    <t>If Fixed for 5 years, Initial Rate</t>
  </si>
  <si>
    <t>Landlord Costs</t>
  </si>
  <si>
    <t xml:space="preserve">Total </t>
  </si>
  <si>
    <t>Remortgage</t>
  </si>
  <si>
    <t>New Property</t>
  </si>
  <si>
    <t>Mortgage Type</t>
  </si>
  <si>
    <t>Income Type</t>
  </si>
  <si>
    <t>Sole</t>
  </si>
  <si>
    <t>Joint</t>
  </si>
  <si>
    <t>Multiplier</t>
  </si>
  <si>
    <t>I.C.R. Results</t>
  </si>
  <si>
    <t>Use Income</t>
  </si>
  <si>
    <t>ProdTerm</t>
  </si>
  <si>
    <t>offeringSetName</t>
  </si>
  <si>
    <t>Life</t>
  </si>
  <si>
    <t>Buy to Let</t>
  </si>
  <si>
    <t>Utilities (Housing, Fuel, Power and Communication)</t>
  </si>
  <si>
    <t>Housekeeping (Food, Drink, Alcohol and Cigarettes)</t>
  </si>
  <si>
    <t>Recreation (including Clothing, Footwear and Essential Repairs)</t>
  </si>
  <si>
    <t>Travel and Transport</t>
  </si>
  <si>
    <t>Life Assurance Premiums/Insurance Policies (including Pensions and Regular Savings)</t>
  </si>
  <si>
    <t>Housing, Fuel &amp; Power and Communication</t>
  </si>
  <si>
    <t>ICR_Rate</t>
  </si>
  <si>
    <t>LCRRate</t>
  </si>
  <si>
    <t>Remort</t>
  </si>
  <si>
    <t>LCRRate2</t>
  </si>
  <si>
    <t>25000F Buy To Let SVR</t>
  </si>
  <si>
    <t>Further Advances</t>
  </si>
  <si>
    <t>25027F 2.50% BTL Three Year Discount - Purchase</t>
  </si>
  <si>
    <t>25028F 2.50% BTL 3 Year Discount - Remortgage</t>
  </si>
  <si>
    <t>25039F Ex Pat 1.50% BTL Discount for Term</t>
  </si>
  <si>
    <t>25046F 1.25% Discount for Term Ex Pat BTL Further Advance</t>
  </si>
  <si>
    <t>Rental Shortfall</t>
  </si>
  <si>
    <t xml:space="preserve">Minimum Rental Income </t>
  </si>
  <si>
    <t>Maximum Loan Amount</t>
  </si>
  <si>
    <t xml:space="preserve">I.C.R % </t>
  </si>
  <si>
    <t>% I.C.R. Required</t>
  </si>
  <si>
    <t>Rental Income is less than or equal to % I.C.R. Required</t>
  </si>
  <si>
    <t>Rental Income is greater than % I.C.R. Required therefore use Affordability Calculations</t>
  </si>
  <si>
    <t>I.C.R. Result</t>
  </si>
  <si>
    <t>Tax Limits</t>
  </si>
  <si>
    <t xml:space="preserve">Band 1 </t>
  </si>
  <si>
    <t>Band 2</t>
  </si>
  <si>
    <t>Band 3</t>
  </si>
  <si>
    <t>Band 4</t>
  </si>
  <si>
    <t>Threshold</t>
  </si>
  <si>
    <t>NI Limits</t>
  </si>
  <si>
    <t>Band 1</t>
  </si>
  <si>
    <t>H</t>
  </si>
  <si>
    <t>I</t>
  </si>
  <si>
    <t>1 Adult - Retired</t>
  </si>
  <si>
    <t>2 Adults - non-retired</t>
  </si>
  <si>
    <t>2 Adults - Retired</t>
  </si>
  <si>
    <t>1 Adult - non-retired</t>
  </si>
  <si>
    <t>1 Adult 1 Dependent</t>
  </si>
  <si>
    <t>1 Adult 2 Dependent</t>
  </si>
  <si>
    <t>2 Adults 1 Dependent</t>
  </si>
  <si>
    <t>2 Adults 2 Dependents</t>
  </si>
  <si>
    <t>2 Adults 3 Dependents</t>
  </si>
  <si>
    <t>N</t>
  </si>
  <si>
    <t>AL</t>
  </si>
  <si>
    <t>BR</t>
  </si>
  <si>
    <t>CR</t>
  </si>
  <si>
    <t>DA</t>
  </si>
  <si>
    <t>EN</t>
  </si>
  <si>
    <t>HA</t>
  </si>
  <si>
    <t>IG</t>
  </si>
  <si>
    <t>LU</t>
  </si>
  <si>
    <t>EC</t>
  </si>
  <si>
    <t>NW</t>
  </si>
  <si>
    <t>SE</t>
  </si>
  <si>
    <t>SW</t>
  </si>
  <si>
    <t>W</t>
  </si>
  <si>
    <t>WC</t>
  </si>
  <si>
    <t>SM</t>
  </si>
  <si>
    <t>TW</t>
  </si>
  <si>
    <t>UB</t>
  </si>
  <si>
    <t>WD</t>
  </si>
  <si>
    <t>YES</t>
  </si>
  <si>
    <t>London</t>
  </si>
  <si>
    <t>Not London</t>
  </si>
  <si>
    <t>Higher Tax</t>
  </si>
  <si>
    <t>Lower Tax</t>
  </si>
  <si>
    <t>London address?</t>
  </si>
  <si>
    <t>no</t>
  </si>
  <si>
    <t>Higher tax?</t>
  </si>
  <si>
    <t>Income Multiplier Result</t>
  </si>
  <si>
    <t>DECLINE</t>
  </si>
  <si>
    <t>First letter(s) of security postcode 
(must be completed)</t>
  </si>
  <si>
    <t xml:space="preserve">If a purchase or a remortgage with additional borrowing, enter 'Y'. If a remortgage with no additional borrowing, enter 'N'. </t>
  </si>
  <si>
    <t>Gross Annual Income (taxable)</t>
  </si>
  <si>
    <t>Gross Annual Income (non-taxable)</t>
  </si>
  <si>
    <t>Total Annual Income</t>
  </si>
  <si>
    <t>Total Net Monthly Income</t>
  </si>
  <si>
    <t>Applicant 3</t>
  </si>
  <si>
    <t>Applicant 4</t>
  </si>
  <si>
    <t>25045FH 3.19% Three Year Fixed Rate BTL Further Advance</t>
  </si>
  <si>
    <t>25050F 1.70% BTL Discount for Term Further Advance</t>
  </si>
  <si>
    <t>Is this a Regulated or Consumer BTL? - Input Y or N</t>
  </si>
  <si>
    <t xml:space="preserve"> </t>
  </si>
  <si>
    <t>• LTI is less than or equal to Joint/Sole maximum LTI for unregulated loans
• Regulated remortgage with no additional borrowing and % Affordability Result is Pass
• Regulated purchase or remortgage with additional is less than 4.5 LTI and % Affordability Result is Pass</t>
  </si>
  <si>
    <t>• Regulated Remortgage with no additional borrowing - LTI is above 4.49 and % Affordability result is Refer
• Other regulated remortgage where % Affordability Result is Refer</t>
  </si>
  <si>
    <t>• LTI is above  Joint/Sole maximum LTI 
• LTI for regulated purchases or regulated remortgage with no additional is not met
• % Affordability Result is not a Pass</t>
  </si>
  <si>
    <t>25052 1.50% Discount for Term Expat BTL</t>
  </si>
  <si>
    <t>25054 1.65% Holiday Let Discount for Term</t>
  </si>
  <si>
    <t>25055 1.70% Discount for Term BTL</t>
  </si>
  <si>
    <t>25056 1.50% Discount for Term Expat BTL Further Advance</t>
  </si>
  <si>
    <t>25057 2.25% BTL Discount for Term Further Advance</t>
  </si>
  <si>
    <t>25058 2.20% Discount for Term Holiday Let Further Advance</t>
  </si>
  <si>
    <t>Version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</si>
</sst>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&quot;£&quot;#,##0.00"/>
    <numFmt numFmtId="166" formatCode="[$-F800]dddd\,\ mmmm\ dd\,\ yyyy"/>
  </numFmts>
  <fonts count="4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Century Gothic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9"/>
      <color indexed="13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0070C0"/>
      <name val="Arial"/>
      <family val="2"/>
    </font>
    <font>
      <b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color rgb="FF0070C0"/>
      <name val="Calibri"/>
      <family val="2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9" fontId="10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Font="1" applyProtection="1"/>
    <xf numFmtId="0" fontId="0" fillId="0" borderId="0" xfId="0" applyFont="1"/>
    <xf numFmtId="0" fontId="15" fillId="0" borderId="0" xfId="0" applyFont="1" applyProtection="1">
      <protection locked="0"/>
    </xf>
    <xf numFmtId="1" fontId="0" fillId="3" borderId="1" xfId="0" applyNumberFormat="1" applyFill="1" applyBorder="1" applyAlignment="1" applyProtection="1">
      <alignment horizontal="center"/>
    </xf>
    <xf numFmtId="44" fontId="17" fillId="3" borderId="1" xfId="0" applyNumberFormat="1" applyFont="1" applyFill="1" applyBorder="1" applyAlignment="1" applyProtection="1">
      <alignment horizontal="center"/>
    </xf>
    <xf numFmtId="10" fontId="5" fillId="0" borderId="0" xfId="4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1" fontId="5" fillId="0" borderId="0" xfId="0" applyNumberFormat="1" applyFont="1" applyFill="1" applyBorder="1" applyAlignment="1" applyProtection="1">
      <alignment horizontal="center"/>
    </xf>
    <xf numFmtId="1" fontId="19" fillId="3" borderId="2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Protection="1"/>
    <xf numFmtId="1" fontId="18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/>
    <xf numFmtId="44" fontId="20" fillId="3" borderId="2" xfId="2" applyFont="1" applyFill="1" applyBorder="1" applyAlignment="1" applyProtection="1">
      <alignment horizontal="center"/>
    </xf>
    <xf numFmtId="44" fontId="20" fillId="3" borderId="2" xfId="2" applyFont="1" applyFill="1" applyBorder="1" applyProtection="1"/>
    <xf numFmtId="44" fontId="20" fillId="3" borderId="2" xfId="0" applyNumberFormat="1" applyFont="1" applyFill="1" applyBorder="1" applyProtection="1"/>
    <xf numFmtId="44" fontId="12" fillId="0" borderId="0" xfId="2" applyFont="1" applyFill="1" applyBorder="1" applyProtection="1"/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1" fontId="22" fillId="0" borderId="0" xfId="0" applyNumberFormat="1" applyFont="1" applyFill="1" applyBorder="1" applyAlignment="1" applyProtection="1">
      <alignment horizontal="center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4" fillId="3" borderId="2" xfId="0" applyNumberFormat="1" applyFont="1" applyFill="1" applyBorder="1" applyAlignment="1" applyProtection="1">
      <alignment horizontal="center"/>
    </xf>
    <xf numFmtId="1" fontId="23" fillId="3" borderId="1" xfId="0" applyNumberFormat="1" applyFont="1" applyFill="1" applyBorder="1" applyAlignment="1" applyProtection="1">
      <alignment horizontal="center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9" fillId="3" borderId="3" xfId="0" applyNumberFormat="1" applyFont="1" applyFill="1" applyBorder="1" applyAlignment="1" applyProtection="1">
      <alignment horizontal="center"/>
    </xf>
    <xf numFmtId="1" fontId="24" fillId="3" borderId="1" xfId="0" applyNumberFormat="1" applyFont="1" applyFill="1" applyBorder="1" applyAlignment="1" applyProtection="1">
      <alignment horizontal="center"/>
    </xf>
    <xf numFmtId="44" fontId="12" fillId="0" borderId="2" xfId="2" applyFont="1" applyFill="1" applyBorder="1" applyAlignment="1" applyProtection="1">
      <alignment horizontal="center" vertical="center"/>
      <protection locked="0"/>
    </xf>
    <xf numFmtId="44" fontId="12" fillId="0" borderId="2" xfId="2" applyFont="1" applyFill="1" applyBorder="1" applyAlignment="1" applyProtection="1">
      <alignment horizontal="center"/>
      <protection locked="0"/>
    </xf>
    <xf numFmtId="44" fontId="13" fillId="3" borderId="1" xfId="2" applyFont="1" applyFill="1" applyBorder="1" applyAlignment="1" applyProtection="1">
      <alignment horizontal="center"/>
    </xf>
    <xf numFmtId="1" fontId="14" fillId="3" borderId="3" xfId="0" applyNumberFormat="1" applyFont="1" applyFill="1" applyBorder="1" applyAlignment="1" applyProtection="1">
      <alignment horizontal="center"/>
    </xf>
    <xf numFmtId="0" fontId="16" fillId="0" borderId="1" xfId="0" applyFont="1" applyFill="1" applyBorder="1" applyAlignment="1" applyProtection="1">
      <alignment horizontal="center"/>
      <protection locked="0"/>
    </xf>
    <xf numFmtId="9" fontId="10" fillId="0" borderId="0" xfId="4" applyFont="1"/>
    <xf numFmtId="0" fontId="18" fillId="0" borderId="0" xfId="0" applyFont="1" applyFill="1" applyProtection="1"/>
    <xf numFmtId="1" fontId="23" fillId="0" borderId="0" xfId="0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25" fillId="0" borderId="0" xfId="0" applyFont="1" applyProtection="1"/>
    <xf numFmtId="0" fontId="0" fillId="0" borderId="0" xfId="0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9" fontId="10" fillId="0" borderId="1" xfId="4" applyFon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44" fontId="3" fillId="0" borderId="0" xfId="2" applyNumberFormat="1" applyFont="1" applyFill="1" applyBorder="1" applyAlignment="1" applyProtection="1">
      <alignment horizontal="center"/>
    </xf>
    <xf numFmtId="164" fontId="3" fillId="0" borderId="0" xfId="2" applyNumberFormat="1" applyFont="1" applyFill="1" applyBorder="1" applyProtection="1"/>
    <xf numFmtId="44" fontId="3" fillId="0" borderId="0" xfId="2" applyNumberFormat="1" applyFont="1" applyFill="1" applyBorder="1" applyProtection="1"/>
    <xf numFmtId="0" fontId="2" fillId="0" borderId="0" xfId="0" applyFont="1" applyFill="1" applyProtection="1"/>
    <xf numFmtId="4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/>
    </xf>
    <xf numFmtId="0" fontId="19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 vertical="center"/>
    </xf>
    <xf numFmtId="165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0" fillId="0" borderId="0" xfId="0" applyAlignment="1" applyProtection="1">
      <alignment horizontal="left" vertical="top"/>
    </xf>
    <xf numFmtId="0" fontId="27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16" fillId="0" borderId="0" xfId="0" applyFont="1" applyFill="1" applyProtection="1"/>
    <xf numFmtId="4" fontId="2" fillId="0" borderId="0" xfId="0" applyNumberFormat="1" applyFont="1" applyFill="1" applyBorder="1" applyAlignment="1" applyProtection="1"/>
    <xf numFmtId="0" fontId="16" fillId="0" borderId="0" xfId="0" applyFont="1" applyProtection="1"/>
    <xf numFmtId="0" fontId="18" fillId="0" borderId="0" xfId="0" applyFont="1" applyProtection="1"/>
    <xf numFmtId="0" fontId="0" fillId="0" borderId="0" xfId="0" applyFont="1" applyAlignment="1" applyProtection="1">
      <alignment horizontal="left" vertical="top"/>
    </xf>
    <xf numFmtId="0" fontId="19" fillId="0" borderId="0" xfId="0" applyFont="1" applyAlignment="1" applyProtection="1">
      <alignment horizontal="center"/>
    </xf>
    <xf numFmtId="0" fontId="28" fillId="0" borderId="0" xfId="0" applyFont="1" applyAlignment="1" applyProtection="1">
      <alignment vertical="top"/>
    </xf>
    <xf numFmtId="0" fontId="19" fillId="0" borderId="0" xfId="0" applyFont="1" applyAlignment="1" applyProtection="1">
      <alignment vertical="center"/>
    </xf>
    <xf numFmtId="10" fontId="16" fillId="0" borderId="0" xfId="4" applyNumberFormat="1" applyFont="1" applyBorder="1" applyAlignment="1" applyProtection="1">
      <alignment horizontal="left" vertical="top"/>
    </xf>
    <xf numFmtId="0" fontId="1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1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2" fontId="31" fillId="0" borderId="0" xfId="0" applyNumberFormat="1" applyFont="1"/>
    <xf numFmtId="0" fontId="34" fillId="0" borderId="0" xfId="0" applyFont="1"/>
    <xf numFmtId="2" fontId="35" fillId="0" borderId="0" xfId="0" applyNumberFormat="1" applyFont="1"/>
    <xf numFmtId="0" fontId="35" fillId="0" borderId="0" xfId="0" applyFont="1"/>
    <xf numFmtId="2" fontId="36" fillId="0" borderId="0" xfId="0" applyNumberFormat="1" applyFont="1"/>
    <xf numFmtId="0" fontId="37" fillId="0" borderId="0" xfId="0" applyFont="1"/>
    <xf numFmtId="0" fontId="32" fillId="0" borderId="0" xfId="0" applyFont="1"/>
    <xf numFmtId="2" fontId="32" fillId="0" borderId="0" xfId="0" applyNumberFormat="1" applyFont="1"/>
    <xf numFmtId="0" fontId="38" fillId="0" borderId="0" xfId="0" applyFont="1"/>
    <xf numFmtId="44" fontId="3" fillId="0" borderId="0" xfId="0" applyNumberFormat="1" applyFont="1" applyProtection="1"/>
    <xf numFmtId="44" fontId="20" fillId="0" borderId="13" xfId="2" applyFont="1" applyFill="1" applyBorder="1" applyProtection="1"/>
    <xf numFmtId="165" fontId="16" fillId="0" borderId="0" xfId="0" applyNumberFormat="1" applyFont="1" applyProtection="1"/>
    <xf numFmtId="2" fontId="18" fillId="0" borderId="2" xfId="0" applyNumberFormat="1" applyFont="1" applyFill="1" applyBorder="1" applyAlignment="1" applyProtection="1">
      <alignment horizontal="center"/>
    </xf>
    <xf numFmtId="9" fontId="0" fillId="0" borderId="0" xfId="4" applyFont="1" applyAlignment="1" applyProtection="1">
      <alignment horizontal="left" vertical="top"/>
    </xf>
    <xf numFmtId="44" fontId="3" fillId="0" borderId="0" xfId="0" applyNumberFormat="1" applyFont="1" applyFill="1" applyProtection="1"/>
    <xf numFmtId="43" fontId="13" fillId="4" borderId="11" xfId="1" applyFont="1" applyFill="1" applyBorder="1" applyAlignment="1" applyProtection="1">
      <alignment horizontal="right" vertical="center"/>
      <protection hidden="1"/>
    </xf>
    <xf numFmtId="10" fontId="13" fillId="4" borderId="1" xfId="1" applyNumberFormat="1" applyFont="1" applyFill="1" applyBorder="1" applyAlignment="1" applyProtection="1">
      <alignment horizontal="right" vertical="center"/>
      <protection hidden="1"/>
    </xf>
    <xf numFmtId="165" fontId="16" fillId="4" borderId="1" xfId="0" applyNumberFormat="1" applyFont="1" applyFill="1" applyBorder="1" applyAlignment="1" applyProtection="1">
      <alignment horizontal="center" vertical="center"/>
      <protection hidden="1"/>
    </xf>
    <xf numFmtId="10" fontId="16" fillId="4" borderId="1" xfId="4" applyNumberFormat="1" applyFont="1" applyFill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9" fontId="16" fillId="4" borderId="1" xfId="4" applyNumberFormat="1" applyFont="1" applyFill="1" applyBorder="1" applyAlignment="1" applyProtection="1">
      <alignment horizontal="center"/>
      <protection hidden="1"/>
    </xf>
    <xf numFmtId="165" fontId="19" fillId="4" borderId="1" xfId="2" applyNumberFormat="1" applyFont="1" applyFill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2" fontId="16" fillId="4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0" fontId="13" fillId="0" borderId="0" xfId="1" applyNumberFormat="1" applyFont="1" applyFill="1" applyBorder="1" applyAlignment="1" applyProtection="1">
      <alignment horizontal="right" vertical="center"/>
      <protection hidden="1"/>
    </xf>
    <xf numFmtId="0" fontId="19" fillId="0" borderId="0" xfId="0" applyFont="1"/>
    <xf numFmtId="165" fontId="0" fillId="0" borderId="0" xfId="0" applyNumberFormat="1"/>
    <xf numFmtId="9" fontId="0" fillId="0" borderId="0" xfId="0" applyNumberFormat="1"/>
    <xf numFmtId="6" fontId="0" fillId="0" borderId="0" xfId="0" applyNumberFormat="1"/>
    <xf numFmtId="44" fontId="0" fillId="0" borderId="0" xfId="0" applyNumberFormat="1" applyProtection="1"/>
    <xf numFmtId="44" fontId="0" fillId="0" borderId="0" xfId="0" applyNumberFormat="1"/>
    <xf numFmtId="0" fontId="18" fillId="0" borderId="0" xfId="0" applyFont="1" applyAlignment="1" applyProtection="1">
      <alignment horizontal="center"/>
      <protection locked="0"/>
    </xf>
    <xf numFmtId="44" fontId="0" fillId="0" borderId="0" xfId="0" applyNumberFormat="1" applyFill="1" applyProtection="1"/>
    <xf numFmtId="0" fontId="0" fillId="0" borderId="0" xfId="0" applyFill="1"/>
    <xf numFmtId="44" fontId="0" fillId="0" borderId="0" xfId="0" applyNumberFormat="1" applyFill="1"/>
    <xf numFmtId="0" fontId="0" fillId="0" borderId="0" xfId="0" applyAlignment="1">
      <alignment vertical="center"/>
    </xf>
    <xf numFmtId="0" fontId="29" fillId="3" borderId="4" xfId="0" applyFont="1" applyFill="1" applyBorder="1" applyProtection="1"/>
    <xf numFmtId="0" fontId="11" fillId="0" borderId="0" xfId="0" applyFont="1" applyFill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44" fontId="12" fillId="0" borderId="0" xfId="2" applyFont="1" applyFill="1" applyBorder="1" applyAlignment="1" applyProtection="1">
      <alignment horizontal="center"/>
    </xf>
    <xf numFmtId="44" fontId="12" fillId="0" borderId="0" xfId="2" quotePrefix="1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44" fontId="12" fillId="0" borderId="0" xfId="2" applyFont="1" applyFill="1" applyAlignment="1" applyProtection="1">
      <alignment horizontal="center"/>
    </xf>
    <xf numFmtId="0" fontId="5" fillId="0" borderId="0" xfId="0" applyFont="1" applyFill="1" applyBorder="1" applyAlignment="1" applyProtection="1"/>
    <xf numFmtId="10" fontId="3" fillId="0" borderId="0" xfId="4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24" fillId="0" borderId="0" xfId="0" applyFont="1" applyFill="1" applyProtection="1"/>
    <xf numFmtId="0" fontId="9" fillId="0" borderId="0" xfId="0" applyFont="1" applyFill="1" applyBorder="1" applyProtection="1"/>
    <xf numFmtId="0" fontId="0" fillId="0" borderId="0" xfId="0" applyFill="1" applyBorder="1" applyAlignment="1" applyProtection="1"/>
    <xf numFmtId="0" fontId="11" fillId="0" borderId="0" xfId="0" applyFont="1" applyProtection="1"/>
    <xf numFmtId="0" fontId="12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164" fontId="10" fillId="0" borderId="0" xfId="2" applyNumberFormat="1" applyFont="1" applyFill="1" applyBorder="1" applyProtection="1"/>
    <xf numFmtId="0" fontId="12" fillId="0" borderId="0" xfId="0" applyFont="1" applyFill="1" applyBorder="1" applyProtection="1"/>
    <xf numFmtId="0" fontId="15" fillId="0" borderId="0" xfId="0" applyFont="1" applyFill="1" applyProtection="1"/>
    <xf numFmtId="1" fontId="3" fillId="0" borderId="0" xfId="0" applyNumberFormat="1" applyFont="1" applyFill="1" applyBorder="1" applyAlignment="1" applyProtection="1">
      <alignment horizontal="left"/>
    </xf>
    <xf numFmtId="0" fontId="17" fillId="0" borderId="0" xfId="0" applyFont="1" applyProtection="1"/>
    <xf numFmtId="0" fontId="29" fillId="0" borderId="0" xfId="0" applyFont="1" applyFill="1" applyBorder="1" applyProtection="1"/>
    <xf numFmtId="166" fontId="29" fillId="0" borderId="0" xfId="0" applyNumberFormat="1" applyFont="1" applyFill="1" applyBorder="1" applyAlignment="1" applyProtection="1">
      <alignment horizontal="center"/>
    </xf>
    <xf numFmtId="0" fontId="26" fillId="0" borderId="0" xfId="0" applyFont="1" applyProtection="1"/>
    <xf numFmtId="4" fontId="16" fillId="2" borderId="0" xfId="0" applyNumberFormat="1" applyFont="1" applyFill="1" applyBorder="1" applyProtection="1"/>
    <xf numFmtId="0" fontId="4" fillId="0" borderId="0" xfId="0" applyFont="1" applyProtection="1"/>
    <xf numFmtId="43" fontId="0" fillId="0" borderId="0" xfId="0" applyNumberFormat="1" applyProtection="1"/>
    <xf numFmtId="165" fontId="19" fillId="0" borderId="0" xfId="0" applyNumberFormat="1" applyFont="1" applyAlignment="1" applyProtection="1">
      <alignment horizontal="center"/>
    </xf>
    <xf numFmtId="4" fontId="16" fillId="2" borderId="0" xfId="0" applyNumberFormat="1" applyFont="1" applyFill="1" applyBorder="1" applyAlignment="1" applyProtection="1"/>
    <xf numFmtId="165" fontId="0" fillId="0" borderId="0" xfId="0" applyNumberFormat="1" applyProtection="1"/>
    <xf numFmtId="4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0" fillId="0" borderId="0" xfId="0" applyNumberFormat="1" applyProtection="1"/>
    <xf numFmtId="0" fontId="39" fillId="0" borderId="0" xfId="0" applyFont="1"/>
    <xf numFmtId="2" fontId="31" fillId="0" borderId="0" xfId="2" applyNumberFormat="1" applyFont="1"/>
    <xf numFmtId="2" fontId="37" fillId="0" borderId="0" xfId="0" applyNumberFormat="1" applyFont="1" applyAlignment="1">
      <alignment horizontal="right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0" fillId="0" borderId="0" xfId="0" applyAlignment="1" applyProtection="1"/>
    <xf numFmtId="166" fontId="29" fillId="3" borderId="5" xfId="0" applyNumberFormat="1" applyFont="1" applyFill="1" applyBorder="1" applyAlignment="1" applyProtection="1">
      <alignment horizontal="center"/>
    </xf>
    <xf numFmtId="166" fontId="29" fillId="3" borderId="6" xfId="0" applyNumberFormat="1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left" wrapText="1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6" fillId="0" borderId="4" xfId="0" applyFont="1" applyBorder="1" applyAlignment="1" applyProtection="1">
      <alignment horizontal="center" wrapText="1"/>
    </xf>
    <xf numFmtId="0" fontId="16" fillId="0" borderId="5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19" fillId="5" borderId="7" xfId="0" applyFont="1" applyFill="1" applyBorder="1" applyAlignment="1" applyProtection="1">
      <alignment wrapText="1"/>
      <protection locked="0"/>
    </xf>
    <xf numFmtId="0" fontId="19" fillId="5" borderId="8" xfId="0" applyFont="1" applyFill="1" applyBorder="1" applyAlignment="1" applyProtection="1">
      <alignment wrapText="1"/>
      <protection locked="0"/>
    </xf>
    <xf numFmtId="0" fontId="19" fillId="5" borderId="9" xfId="0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4" fontId="16" fillId="0" borderId="0" xfId="0" applyNumberFormat="1" applyFont="1" applyFill="1" applyBorder="1" applyAlignment="1" applyProtection="1">
      <alignment horizontal="left" wrapText="1"/>
    </xf>
    <xf numFmtId="0" fontId="2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19" fillId="0" borderId="0" xfId="0" applyFont="1" applyAlignment="1" applyProtection="1">
      <alignment horizontal="left" vertical="center"/>
    </xf>
  </cellXfs>
  <cellStyles count="5">
    <cellStyle name="Comma" xfId="1" builtinId="3"/>
    <cellStyle name="Currency" xfId="2" builtinId="4"/>
    <cellStyle name="Normal" xfId="0" builtinId="0"/>
    <cellStyle name="Normal_Sheet1" xfId="3" xr:uid="{00000000-0005-0000-0000-000003000000}"/>
    <cellStyle name="Percent" xfId="4" builtinId="5"/>
  </cellStyles>
  <dxfs count="2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590550</xdr:colOff>
          <xdr:row>0</xdr:row>
          <xdr:rowOff>190500</xdr:rowOff>
        </xdr:from>
        <xdr:to>
          <xdr:col>12</xdr:col>
          <xdr:colOff>28575</xdr:colOff>
          <xdr:row>2</xdr:row>
          <xdr:rowOff>38100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Refresh Product Data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Calculators/Internal%20Affordability%20V24%20-%20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udleybuildingsociety.co.uk/intermediary/Downloads/External%20Affordability%20V13%20-%20protec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%20Calculators/External%20Affordability%20V16%20-%20protected%20with%20macr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Results"/>
      <sheetName val="ONS Data"/>
      <sheetName val="Income Calculator"/>
      <sheetName val="Calc"/>
      <sheetName val="Help "/>
      <sheetName val="Part &amp; Part"/>
      <sheetName val="ProductData"/>
    </sheetNames>
    <sheetDataSet>
      <sheetData sheetId="0">
        <row r="21">
          <cell r="F21" t="str">
            <v>A</v>
          </cell>
        </row>
      </sheetData>
      <sheetData sheetId="1"/>
      <sheetData sheetId="2"/>
      <sheetData sheetId="3">
        <row r="1">
          <cell r="A1" t="str">
            <v>Expenditure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Results"/>
      <sheetName val="ONS Data"/>
      <sheetName val="Income Calculator"/>
      <sheetName val="Calc"/>
      <sheetName val="Help "/>
      <sheetName val="Part &amp; Part"/>
      <sheetName val="Product Data"/>
    </sheetNames>
    <sheetDataSet>
      <sheetData sheetId="0">
        <row r="10">
          <cell r="I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Results"/>
      <sheetName val="ONS Data"/>
      <sheetName val="Income Calculator"/>
      <sheetName val="Calc"/>
      <sheetName val="Help "/>
      <sheetName val="Part &amp; Part"/>
      <sheetName val="ProductD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DPR_DMART" preserveFormatting="0" connectionId="1" xr16:uid="{00000000-0016-0000-0800-000000000000}" autoFormatId="16" applyNumberFormats="0" applyBorderFormats="0" applyFontFormats="0" applyPatternFormats="0" applyAlignmentFormats="0" applyWidthHeightFormats="0">
  <queryTableRefresh preserveSortFilterLayout="0" nextId="13">
    <queryTableFields count="12">
      <queryTableField id="1" name="ProductRateDescription" tableColumnId="1"/>
      <queryTableField id="2" name="RateValue" tableColumnId="2"/>
      <queryTableField id="3" name="Pay_Rate" tableColumnId="3"/>
      <queryTableField id="4" name="StressedRate" tableColumnId="4"/>
      <queryTableField id="5" name="FixedProdTerm" tableColumnId="5"/>
      <queryTableField id="6" name="scheduleType" tableColumnId="6"/>
      <queryTableField id="7" name="ProdTerm" tableColumnId="7"/>
      <queryTableField id="8" name="offeringSetName" tableColumnId="8"/>
      <queryTableField id="9" name="ICR_Rate" tableColumnId="9"/>
      <queryTableField id="10" name="LCRRate" tableColumnId="10"/>
      <queryTableField id="11" name="Remort" tableColumnId="11"/>
      <queryTableField id="12" name="LCRRate2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_from_DPR_DMART" displayName="Table_Query_from_DPR_DMART" ref="A1:L14" tableType="queryTable" totalsRowShown="0">
  <autoFilter ref="A1:L14" xr:uid="{F74C57BA-AFD7-420D-A5D7-13C5C3441669}"/>
  <tableColumns count="12">
    <tableColumn id="1" xr3:uid="{48486255-F3E4-4BFB-9B04-B675D09F7462}" uniqueName="1" name="ProductRateDescription" queryTableFieldId="1"/>
    <tableColumn id="2" xr3:uid="{93071A07-84B8-483F-864C-41586F8A9A48}" uniqueName="2" name="RateValue" queryTableFieldId="2"/>
    <tableColumn id="3" xr3:uid="{B2678C7C-E721-44EE-A9CF-1B825927A8CE}" uniqueName="3" name="Pay_Rate" queryTableFieldId="3"/>
    <tableColumn id="4" xr3:uid="{520286AB-A183-4C19-8360-0059F6E0E762}" uniqueName="4" name="StressedRate" queryTableFieldId="4"/>
    <tableColumn id="5" xr3:uid="{2C91F2F0-2ED1-46B8-A6D9-53E6CC8CE457}" uniqueName="5" name="FixedProdTerm" queryTableFieldId="5"/>
    <tableColumn id="6" xr3:uid="{79125232-1072-48A2-A06D-B1474E82D84A}" uniqueName="6" name="scheduleType" queryTableFieldId="6"/>
    <tableColumn id="7" xr3:uid="{98925BE7-739F-408A-9FB5-3CB3B9748AFE}" uniqueName="7" name="ProdTerm" queryTableFieldId="7"/>
    <tableColumn id="8" xr3:uid="{8722F926-337D-4D82-8FFE-58131B5669D3}" uniqueName="8" name="offeringSetName" queryTableFieldId="8"/>
    <tableColumn id="9" xr3:uid="{A5AB415E-FE46-4813-ACB7-C0C121169D7C}" uniqueName="9" name="ICR_Rate" queryTableFieldId="9"/>
    <tableColumn id="10" xr3:uid="{37FE0315-E544-4B67-AB1A-7BCC81B32D50}" uniqueName="10" name="LCRRate" queryTableFieldId="10"/>
    <tableColumn id="11" xr3:uid="{F94B75A7-347E-4593-B8A6-8E4BEC30881C}" uniqueName="11" name="Remort" queryTableFieldId="11"/>
    <tableColumn id="12" xr3:uid="{898A457A-9FA5-4FA1-BA71-510A787233B7}" uniqueName="12" name="LCRRate2" queryTableField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9"/>
  <sheetViews>
    <sheetView tabSelected="1" zoomScale="90" zoomScaleNormal="90" workbookViewId="0">
      <selection activeCell="F6" sqref="F6"/>
    </sheetView>
  </sheetViews>
  <sheetFormatPr defaultColWidth="9.140625" defaultRowHeight="15" x14ac:dyDescent="0.25"/>
  <cols>
    <col min="1" max="1" width="6.28515625" style="1" customWidth="1"/>
    <col min="2" max="2" width="10.42578125" style="1" customWidth="1"/>
    <col min="3" max="3" width="11.140625" style="1" customWidth="1"/>
    <col min="4" max="4" width="10.7109375" style="1" bestFit="1" customWidth="1"/>
    <col min="5" max="5" width="4" style="1" customWidth="1"/>
    <col min="6" max="6" width="13.85546875" style="1" bestFit="1" customWidth="1"/>
    <col min="7" max="7" width="8.28515625" style="1" customWidth="1"/>
    <col min="8" max="8" width="13.5703125" style="1" bestFit="1" customWidth="1"/>
    <col min="9" max="9" width="9.140625" style="1"/>
    <col min="10" max="10" width="13.5703125" style="1" bestFit="1" customWidth="1"/>
    <col min="11" max="11" width="9.140625" style="1"/>
    <col min="12" max="12" width="13.5703125" style="1" bestFit="1" customWidth="1"/>
    <col min="13" max="16384" width="9.140625" style="1"/>
  </cols>
  <sheetData>
    <row r="1" spans="1:12" ht="16.5" thickBot="1" x14ac:dyDescent="0.3">
      <c r="A1" s="121" t="s">
        <v>112</v>
      </c>
      <c r="B1" s="172">
        <f ca="1">TODAY()</f>
        <v>44326</v>
      </c>
      <c r="C1" s="173"/>
    </row>
    <row r="2" spans="1:12" x14ac:dyDescent="0.25">
      <c r="A2" s="1" t="s">
        <v>240</v>
      </c>
    </row>
    <row r="3" spans="1:12" s="9" customFormat="1" ht="18.75" x14ac:dyDescent="0.3">
      <c r="A3" s="122" t="s">
        <v>44</v>
      </c>
      <c r="D3" s="10"/>
      <c r="G3" s="10"/>
    </row>
    <row r="4" spans="1:12" x14ac:dyDescent="0.25">
      <c r="A4" s="9"/>
      <c r="B4" s="9"/>
      <c r="C4" s="9"/>
      <c r="D4" s="10"/>
      <c r="E4" s="9"/>
      <c r="F4" s="123" t="s">
        <v>0</v>
      </c>
      <c r="G4" s="10"/>
      <c r="H4" s="123" t="s">
        <v>1</v>
      </c>
      <c r="J4" s="123" t="s">
        <v>225</v>
      </c>
      <c r="L4" s="123" t="s">
        <v>226</v>
      </c>
    </row>
    <row r="5" spans="1:12" x14ac:dyDescent="0.25">
      <c r="A5" s="9"/>
      <c r="B5" s="9"/>
      <c r="C5" s="9"/>
      <c r="D5" s="10"/>
      <c r="E5" s="9"/>
      <c r="F5" s="123"/>
      <c r="G5" s="10"/>
      <c r="H5" s="123"/>
      <c r="J5" s="123"/>
      <c r="L5" s="123"/>
    </row>
    <row r="6" spans="1:12" x14ac:dyDescent="0.25">
      <c r="A6" s="124" t="s">
        <v>221</v>
      </c>
      <c r="B6" s="9"/>
      <c r="C6" s="125"/>
      <c r="D6" s="126"/>
      <c r="E6" s="127"/>
      <c r="F6" s="30">
        <v>0</v>
      </c>
      <c r="G6" s="128"/>
      <c r="H6" s="31">
        <v>0</v>
      </c>
      <c r="J6" s="30">
        <v>0</v>
      </c>
      <c r="L6" s="30">
        <v>0</v>
      </c>
    </row>
    <row r="7" spans="1:12" x14ac:dyDescent="0.25">
      <c r="A7" s="124"/>
      <c r="B7" s="9"/>
      <c r="C7" s="10"/>
      <c r="D7" s="10"/>
      <c r="E7" s="130"/>
      <c r="F7" s="131"/>
      <c r="G7" s="129"/>
      <c r="H7" s="131"/>
      <c r="J7" s="131"/>
      <c r="L7" s="131"/>
    </row>
    <row r="8" spans="1:12" x14ac:dyDescent="0.25">
      <c r="A8" s="124" t="s">
        <v>222</v>
      </c>
      <c r="B8" s="9"/>
      <c r="C8" s="132"/>
      <c r="D8" s="132"/>
      <c r="E8" s="133"/>
      <c r="F8" s="31">
        <v>0</v>
      </c>
      <c r="G8" s="128"/>
      <c r="H8" s="31">
        <v>0</v>
      </c>
      <c r="J8" s="31">
        <v>0</v>
      </c>
      <c r="L8" s="31">
        <v>0</v>
      </c>
    </row>
    <row r="9" spans="1:12" ht="15.75" thickBot="1" x14ac:dyDescent="0.3">
      <c r="A9" s="70"/>
      <c r="B9" s="9"/>
      <c r="C9" s="132"/>
      <c r="D9" s="132"/>
      <c r="E9" s="134"/>
      <c r="F9" s="128"/>
      <c r="G9" s="128"/>
      <c r="H9" s="128"/>
      <c r="J9" s="128"/>
      <c r="L9" s="128"/>
    </row>
    <row r="10" spans="1:12" ht="15.75" thickBot="1" x14ac:dyDescent="0.3">
      <c r="A10" s="70" t="s">
        <v>45</v>
      </c>
      <c r="B10" s="9"/>
      <c r="C10" s="132"/>
      <c r="D10" s="132"/>
      <c r="E10" s="134"/>
      <c r="F10" s="32">
        <f>SUM(F6+F8)</f>
        <v>0</v>
      </c>
      <c r="G10" s="128"/>
      <c r="H10" s="32">
        <f>SUM(H6+H8)</f>
        <v>0</v>
      </c>
      <c r="J10" s="32">
        <f>SUM(J6+J8)</f>
        <v>0</v>
      </c>
      <c r="L10" s="32">
        <f>SUM(L6+L8)</f>
        <v>0</v>
      </c>
    </row>
    <row r="11" spans="1:12" ht="15.75" thickBot="1" x14ac:dyDescent="0.3">
      <c r="A11" s="70"/>
      <c r="B11" s="9"/>
      <c r="C11" s="132"/>
      <c r="D11" s="132"/>
      <c r="E11" s="134"/>
      <c r="F11" s="128"/>
      <c r="G11" s="128"/>
      <c r="H11" s="128"/>
      <c r="J11" s="128"/>
      <c r="L11" s="128"/>
    </row>
    <row r="12" spans="1:12" ht="16.5" thickBot="1" x14ac:dyDescent="0.3">
      <c r="A12" s="135" t="s">
        <v>224</v>
      </c>
      <c r="B12" s="9"/>
      <c r="C12" s="132"/>
      <c r="D12" s="132"/>
      <c r="E12" s="133"/>
      <c r="F12" s="32">
        <f>SUM('Income Calculator'!B24)</f>
        <v>0</v>
      </c>
      <c r="G12" s="128"/>
      <c r="H12" s="32">
        <f>SUM('Income Calculator'!E24)</f>
        <v>0</v>
      </c>
      <c r="J12" s="32">
        <f>SUM('Income Calculator'!G24)</f>
        <v>0</v>
      </c>
      <c r="L12" s="32">
        <f>SUM('Income Calculator'!I24)</f>
        <v>0</v>
      </c>
    </row>
    <row r="13" spans="1:12" x14ac:dyDescent="0.25">
      <c r="A13" s="70"/>
      <c r="B13" s="9"/>
      <c r="C13" s="132"/>
      <c r="D13" s="132"/>
      <c r="E13" s="133"/>
      <c r="F13" s="128"/>
      <c r="G13" s="128"/>
      <c r="H13" s="128"/>
      <c r="K13" s="80"/>
    </row>
    <row r="14" spans="1:12" ht="15.75" thickBot="1" x14ac:dyDescent="0.3">
      <c r="A14" s="136"/>
      <c r="B14" s="9"/>
      <c r="C14" s="132"/>
      <c r="D14" s="137"/>
      <c r="E14" s="133"/>
      <c r="F14" s="133"/>
      <c r="G14" s="133"/>
      <c r="H14" s="133"/>
      <c r="K14" s="80"/>
    </row>
    <row r="15" spans="1:12" ht="15.75" thickBot="1" x14ac:dyDescent="0.3">
      <c r="A15" s="124" t="s">
        <v>136</v>
      </c>
      <c r="B15" s="9"/>
      <c r="C15" s="9"/>
      <c r="D15" s="10"/>
      <c r="E15" s="9"/>
      <c r="F15" s="34" t="s">
        <v>14</v>
      </c>
      <c r="G15" s="10"/>
      <c r="H15" s="167" t="s">
        <v>14</v>
      </c>
      <c r="I15" s="177" t="s">
        <v>134</v>
      </c>
      <c r="J15" s="171"/>
      <c r="K15" s="80"/>
    </row>
    <row r="16" spans="1:12" x14ac:dyDescent="0.25">
      <c r="A16" s="9"/>
      <c r="B16" s="9"/>
      <c r="C16" s="9"/>
      <c r="D16" s="10"/>
      <c r="E16" s="9"/>
      <c r="F16" s="9"/>
      <c r="G16" s="10"/>
      <c r="H16" s="168" t="s">
        <v>15</v>
      </c>
      <c r="I16" s="177" t="s">
        <v>135</v>
      </c>
      <c r="J16" s="171"/>
      <c r="K16" s="80"/>
    </row>
    <row r="17" spans="1:11" ht="15.75" thickBot="1" x14ac:dyDescent="0.3">
      <c r="A17" s="9"/>
      <c r="B17" s="9"/>
      <c r="C17" s="9"/>
      <c r="D17" s="10"/>
      <c r="E17" s="9"/>
      <c r="F17" s="9"/>
      <c r="G17" s="10"/>
      <c r="H17" s="169"/>
      <c r="I17" s="10"/>
      <c r="K17" s="80"/>
    </row>
    <row r="18" spans="1:11" ht="15.75" thickBot="1" x14ac:dyDescent="0.3">
      <c r="A18" s="124" t="s">
        <v>46</v>
      </c>
      <c r="B18" s="9"/>
      <c r="C18" s="9"/>
      <c r="D18" s="10"/>
      <c r="E18" s="9"/>
      <c r="F18" s="34" t="s">
        <v>14</v>
      </c>
      <c r="G18" s="10"/>
      <c r="H18" s="167" t="s">
        <v>14</v>
      </c>
      <c r="I18" s="177" t="s">
        <v>184</v>
      </c>
      <c r="J18" s="171"/>
      <c r="K18" s="80"/>
    </row>
    <row r="19" spans="1:11" x14ac:dyDescent="0.25">
      <c r="A19" s="9"/>
      <c r="B19" s="9"/>
      <c r="C19" s="9"/>
      <c r="D19" s="10"/>
      <c r="E19" s="9"/>
      <c r="F19" s="9"/>
      <c r="G19" s="10"/>
      <c r="H19" s="168" t="s">
        <v>15</v>
      </c>
      <c r="I19" s="177" t="s">
        <v>182</v>
      </c>
      <c r="J19" s="171"/>
      <c r="K19" s="80"/>
    </row>
    <row r="20" spans="1:11" x14ac:dyDescent="0.25">
      <c r="A20" s="9"/>
      <c r="B20" s="9"/>
      <c r="C20" s="9"/>
      <c r="D20" s="10"/>
      <c r="E20" s="9"/>
      <c r="F20" s="9"/>
      <c r="G20" s="10"/>
      <c r="H20" s="168" t="s">
        <v>16</v>
      </c>
      <c r="I20" s="177" t="s">
        <v>185</v>
      </c>
      <c r="J20" s="171"/>
      <c r="K20" s="80"/>
    </row>
    <row r="21" spans="1:11" x14ac:dyDescent="0.25">
      <c r="A21" s="70" t="s">
        <v>115</v>
      </c>
      <c r="B21" s="9"/>
      <c r="C21" s="132"/>
      <c r="D21" s="132"/>
      <c r="E21" s="134"/>
      <c r="F21" s="31">
        <v>0</v>
      </c>
      <c r="G21" s="10"/>
      <c r="H21" s="168" t="s">
        <v>17</v>
      </c>
      <c r="I21" s="177" t="s">
        <v>186</v>
      </c>
      <c r="J21" s="171"/>
      <c r="K21" s="80"/>
    </row>
    <row r="22" spans="1:11" x14ac:dyDescent="0.25">
      <c r="A22" s="9"/>
      <c r="B22" s="9"/>
      <c r="C22" s="9"/>
      <c r="D22" s="10"/>
      <c r="E22" s="9"/>
      <c r="F22" s="9"/>
      <c r="G22" s="10"/>
      <c r="H22" s="168" t="s">
        <v>18</v>
      </c>
      <c r="I22" s="177" t="s">
        <v>187</v>
      </c>
      <c r="J22" s="171"/>
      <c r="K22" s="80"/>
    </row>
    <row r="23" spans="1:11" ht="15.75" thickBot="1" x14ac:dyDescent="0.3">
      <c r="A23" s="9"/>
      <c r="B23" s="9"/>
      <c r="C23" s="9"/>
      <c r="D23" s="10"/>
      <c r="E23" s="9"/>
      <c r="F23" s="9"/>
      <c r="G23" s="10"/>
      <c r="H23" s="168" t="s">
        <v>19</v>
      </c>
      <c r="I23" s="177" t="s">
        <v>188</v>
      </c>
      <c r="J23" s="171"/>
      <c r="K23" s="80"/>
    </row>
    <row r="24" spans="1:11" ht="17.25" customHeight="1" x14ac:dyDescent="0.25">
      <c r="A24" s="174" t="s">
        <v>219</v>
      </c>
      <c r="B24" s="174"/>
      <c r="C24" s="174"/>
      <c r="D24" s="174"/>
      <c r="F24" s="175"/>
      <c r="G24" s="10"/>
      <c r="H24" s="167" t="s">
        <v>20</v>
      </c>
      <c r="I24" s="177" t="s">
        <v>189</v>
      </c>
      <c r="J24" s="171"/>
      <c r="K24" s="80"/>
    </row>
    <row r="25" spans="1:11" ht="15.75" thickBot="1" x14ac:dyDescent="0.3">
      <c r="A25" s="174"/>
      <c r="B25" s="174"/>
      <c r="C25" s="174"/>
      <c r="D25" s="174"/>
      <c r="F25" s="176"/>
      <c r="H25" s="75" t="s">
        <v>179</v>
      </c>
      <c r="I25" s="170" t="s">
        <v>181</v>
      </c>
      <c r="J25" s="171"/>
      <c r="K25" s="80"/>
    </row>
    <row r="26" spans="1:11" x14ac:dyDescent="0.25">
      <c r="H26" s="75" t="s">
        <v>180</v>
      </c>
      <c r="I26" s="170" t="s">
        <v>183</v>
      </c>
      <c r="J26" s="171"/>
      <c r="K26" s="80"/>
    </row>
    <row r="27" spans="1:11" x14ac:dyDescent="0.25">
      <c r="K27" s="80"/>
    </row>
    <row r="28" spans="1:11" ht="29.25" customHeight="1" x14ac:dyDescent="0.25">
      <c r="K28" s="80"/>
    </row>
    <row r="29" spans="1:11" x14ac:dyDescent="0.25">
      <c r="H29" s="163"/>
      <c r="K29" s="80"/>
    </row>
  </sheetData>
  <sheetProtection algorithmName="SHA-512" hashValue="BEvWwEuhZ8RxlAtiIZ/WdZU2zujfCt5qMV7b3L6DCsHPVxCFyIjbjYA0jjd3vEg2Of4ukZNkJtjkHzaK7qw98g==" saltValue="FIGtr6fI+PU+JHykOYN7xw==" spinCount="100000" sheet="1" selectLockedCells="1"/>
  <mergeCells count="14">
    <mergeCell ref="I26:J26"/>
    <mergeCell ref="B1:C1"/>
    <mergeCell ref="A24:D25"/>
    <mergeCell ref="F24:F25"/>
    <mergeCell ref="I15:J15"/>
    <mergeCell ref="I16:J16"/>
    <mergeCell ref="I18:J18"/>
    <mergeCell ref="I19:J19"/>
    <mergeCell ref="I20:J20"/>
    <mergeCell ref="I21:J21"/>
    <mergeCell ref="I22:J22"/>
    <mergeCell ref="I23:J23"/>
    <mergeCell ref="I24:J24"/>
    <mergeCell ref="I25:J25"/>
  </mergeCells>
  <conditionalFormatting sqref="F24">
    <cfRule type="containsBlanks" dxfId="23" priority="1">
      <formula>LEN(TRIM(F24))=0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2199C7-E301-4CB0-BE2B-C82A12664E66}">
          <x14:formula1>
            <xm:f>Lists!$A$1:$A$2</xm:f>
          </x14:formula1>
          <xm:sqref>F15</xm:sqref>
        </x14:dataValidation>
        <x14:dataValidation type="list" allowBlank="1" showInputMessage="1" showErrorMessage="1" xr:uid="{EAD97DB0-9114-4B4A-B8F3-17C9D12A8AD0}">
          <x14:formula1>
            <xm:f>Lists!$B$1:$B$9</xm:f>
          </x14:formula1>
          <xm:sqref>F18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27CD-69DE-48B8-A1BF-14D4861A21E2}">
  <sheetPr codeName="Sheet10"/>
  <dimension ref="A1:O29"/>
  <sheetViews>
    <sheetView workbookViewId="0">
      <selection activeCell="E14" sqref="E14"/>
    </sheetView>
  </sheetViews>
  <sheetFormatPr defaultRowHeight="15" x14ac:dyDescent="0.25"/>
  <sheetData>
    <row r="1" spans="1:15" x14ac:dyDescent="0.25">
      <c r="A1" t="s">
        <v>132</v>
      </c>
      <c r="D1" t="s">
        <v>133</v>
      </c>
    </row>
    <row r="4" spans="1:15" x14ac:dyDescent="0.25">
      <c r="A4" t="s">
        <v>14</v>
      </c>
      <c r="B4" t="s">
        <v>134</v>
      </c>
    </row>
    <row r="5" spans="1:15" x14ac:dyDescent="0.25">
      <c r="A5" t="s">
        <v>15</v>
      </c>
      <c r="B5" t="s">
        <v>135</v>
      </c>
    </row>
    <row r="8" spans="1:15" x14ac:dyDescent="0.25">
      <c r="F8" t="s">
        <v>210</v>
      </c>
      <c r="G8" t="s">
        <v>211</v>
      </c>
    </row>
    <row r="9" spans="1:15" x14ac:dyDescent="0.25">
      <c r="E9" t="s">
        <v>212</v>
      </c>
      <c r="F9">
        <v>1007</v>
      </c>
      <c r="G9">
        <v>538</v>
      </c>
    </row>
    <row r="10" spans="1:15" x14ac:dyDescent="0.25">
      <c r="A10" s="120" t="s">
        <v>191</v>
      </c>
      <c r="B10" t="s">
        <v>209</v>
      </c>
      <c r="E10" t="s">
        <v>213</v>
      </c>
      <c r="F10">
        <v>776</v>
      </c>
      <c r="G10">
        <v>420</v>
      </c>
    </row>
    <row r="11" spans="1:15" x14ac:dyDescent="0.25">
      <c r="A11" s="120" t="s">
        <v>192</v>
      </c>
      <c r="B11" t="s">
        <v>209</v>
      </c>
    </row>
    <row r="12" spans="1:15" x14ac:dyDescent="0.25">
      <c r="A12" s="120" t="s">
        <v>193</v>
      </c>
      <c r="B12" t="s">
        <v>209</v>
      </c>
    </row>
    <row r="13" spans="1:15" x14ac:dyDescent="0.25">
      <c r="A13" s="120" t="s">
        <v>194</v>
      </c>
      <c r="B13" t="s">
        <v>209</v>
      </c>
      <c r="D13" t="s">
        <v>214</v>
      </c>
      <c r="E13" t="str">
        <f>IFERROR(VLOOKUP(Income!F24,GreaterLDN, 2, FALSE),"NO")</f>
        <v>NO</v>
      </c>
      <c r="F13" t="s">
        <v>215</v>
      </c>
      <c r="G13">
        <f>IF(E13="YES",F9,G9)</f>
        <v>538</v>
      </c>
    </row>
    <row r="14" spans="1:15" x14ac:dyDescent="0.25">
      <c r="A14" s="120" t="s">
        <v>195</v>
      </c>
      <c r="B14" t="s">
        <v>209</v>
      </c>
      <c r="D14" t="s">
        <v>216</v>
      </c>
      <c r="E14" t="str">
        <f>IF(OR('Income Calculator'!B14&gt;0,'Income Calculator'!E14&gt;0,'Income Calculator'!G14&gt;0,'Income Calculator'!I14&gt;0),"YES","NO")</f>
        <v>NO</v>
      </c>
      <c r="F14" t="s">
        <v>215</v>
      </c>
      <c r="G14">
        <f>IF(AND(E13="YES",E14="YES"),F9,F10)</f>
        <v>776</v>
      </c>
    </row>
    <row r="15" spans="1:15" x14ac:dyDescent="0.25">
      <c r="A15" s="120" t="s">
        <v>196</v>
      </c>
      <c r="B15" t="s">
        <v>209</v>
      </c>
    </row>
    <row r="16" spans="1:15" x14ac:dyDescent="0.25">
      <c r="A16" s="120" t="s">
        <v>197</v>
      </c>
      <c r="B16" t="s">
        <v>209</v>
      </c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x14ac:dyDescent="0.25">
      <c r="A17" s="120" t="s">
        <v>198</v>
      </c>
      <c r="B17" t="s">
        <v>209</v>
      </c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 x14ac:dyDescent="0.25">
      <c r="A18" s="120" t="s">
        <v>18</v>
      </c>
      <c r="B18" t="s">
        <v>209</v>
      </c>
    </row>
    <row r="19" spans="1:15" x14ac:dyDescent="0.25">
      <c r="A19" s="120" t="s">
        <v>199</v>
      </c>
      <c r="B19" t="s">
        <v>209</v>
      </c>
    </row>
    <row r="20" spans="1:15" x14ac:dyDescent="0.25">
      <c r="A20" s="120" t="s">
        <v>190</v>
      </c>
      <c r="B20" t="s">
        <v>209</v>
      </c>
    </row>
    <row r="21" spans="1:15" x14ac:dyDescent="0.25">
      <c r="A21" s="120" t="s">
        <v>200</v>
      </c>
      <c r="B21" t="s">
        <v>209</v>
      </c>
    </row>
    <row r="22" spans="1:15" x14ac:dyDescent="0.25">
      <c r="A22" s="120" t="s">
        <v>201</v>
      </c>
      <c r="B22" t="s">
        <v>209</v>
      </c>
    </row>
    <row r="23" spans="1:15" x14ac:dyDescent="0.25">
      <c r="A23" s="120" t="s">
        <v>202</v>
      </c>
      <c r="B23" t="s">
        <v>209</v>
      </c>
    </row>
    <row r="24" spans="1:15" x14ac:dyDescent="0.25">
      <c r="A24" s="120" t="s">
        <v>203</v>
      </c>
      <c r="B24" t="s">
        <v>209</v>
      </c>
    </row>
    <row r="25" spans="1:15" x14ac:dyDescent="0.25">
      <c r="A25" s="120" t="s">
        <v>204</v>
      </c>
      <c r="B25" t="s">
        <v>209</v>
      </c>
    </row>
    <row r="26" spans="1:15" x14ac:dyDescent="0.25">
      <c r="A26" s="120" t="s">
        <v>205</v>
      </c>
      <c r="B26" t="s">
        <v>209</v>
      </c>
    </row>
    <row r="27" spans="1:15" x14ac:dyDescent="0.25">
      <c r="A27" s="120" t="s">
        <v>206</v>
      </c>
      <c r="B27" t="s">
        <v>209</v>
      </c>
    </row>
    <row r="28" spans="1:15" x14ac:dyDescent="0.25">
      <c r="A28" s="120" t="s">
        <v>207</v>
      </c>
      <c r="B28" t="s">
        <v>209</v>
      </c>
    </row>
    <row r="29" spans="1:15" x14ac:dyDescent="0.25">
      <c r="A29" s="120" t="s">
        <v>208</v>
      </c>
      <c r="B29" t="s">
        <v>209</v>
      </c>
    </row>
  </sheetData>
  <sheetProtection algorithmName="SHA-512" hashValue="bEb5Qd9zuN9fRsJvH1Y98qbX73iHz7mkTPWXyBaQJ1VDOW29ib8q6sCM95V7oXTyfXEcYMkkOfEzSvB67dbHMw==" saltValue="wNCugf0TPfxq5QNnBnMWU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3"/>
  <sheetViews>
    <sheetView workbookViewId="0">
      <selection activeCell="A2" sqref="A2"/>
    </sheetView>
  </sheetViews>
  <sheetFormatPr defaultRowHeight="15" x14ac:dyDescent="0.25"/>
  <cols>
    <col min="1" max="1" width="12.28515625" bestFit="1" customWidth="1"/>
  </cols>
  <sheetData>
    <row r="1" spans="1:2" x14ac:dyDescent="0.25">
      <c r="A1" t="s">
        <v>137</v>
      </c>
      <c r="B1" t="s">
        <v>140</v>
      </c>
    </row>
    <row r="2" spans="1:2" x14ac:dyDescent="0.25">
      <c r="A2" t="s">
        <v>138</v>
      </c>
      <c r="B2">
        <v>4.75</v>
      </c>
    </row>
    <row r="3" spans="1:2" x14ac:dyDescent="0.25">
      <c r="A3" t="s">
        <v>139</v>
      </c>
      <c r="B3">
        <v>4.5</v>
      </c>
    </row>
  </sheetData>
  <sheetProtection password="F29C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32"/>
  <sheetViews>
    <sheetView zoomScale="90" zoomScaleNormal="90" workbookViewId="0">
      <selection activeCell="F18" sqref="F18"/>
    </sheetView>
  </sheetViews>
  <sheetFormatPr defaultRowHeight="15" x14ac:dyDescent="0.25"/>
  <cols>
    <col min="2" max="2" width="12.5703125" customWidth="1"/>
    <col min="3" max="3" width="8.140625" customWidth="1"/>
    <col min="5" max="5" width="37.5703125" customWidth="1"/>
    <col min="6" max="6" width="11.140625" customWidth="1"/>
    <col min="7" max="8" width="10.85546875" bestFit="1" customWidth="1"/>
    <col min="9" max="9" width="10.5703125" customWidth="1"/>
    <col min="13" max="13" width="10.28515625" customWidth="1"/>
    <col min="15" max="15" width="10" bestFit="1" customWidth="1"/>
  </cols>
  <sheetData>
    <row r="1" spans="1:16" ht="16.5" thickBot="1" x14ac:dyDescent="0.3">
      <c r="A1" s="121" t="s">
        <v>112</v>
      </c>
      <c r="B1" s="172">
        <f ca="1">TODAY()</f>
        <v>44326</v>
      </c>
      <c r="C1" s="1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9.5" thickBot="1" x14ac:dyDescent="0.35">
      <c r="A3" s="138" t="s">
        <v>42</v>
      </c>
      <c r="B3" s="1"/>
      <c r="C3" s="1"/>
      <c r="D3" s="1"/>
      <c r="E3" s="1"/>
      <c r="F3" s="179" t="s">
        <v>72</v>
      </c>
      <c r="G3" s="180"/>
      <c r="H3" s="180"/>
      <c r="I3" s="181"/>
      <c r="J3" s="1"/>
      <c r="K3" s="1"/>
      <c r="L3" s="179" t="s">
        <v>32</v>
      </c>
      <c r="M3" s="180"/>
      <c r="N3" s="181"/>
      <c r="O3" s="1"/>
      <c r="P3" s="1"/>
    </row>
    <row r="4" spans="1:16" x14ac:dyDescent="0.25">
      <c r="A4" s="9"/>
      <c r="B4" s="10"/>
      <c r="C4" s="137"/>
      <c r="D4" s="137"/>
      <c r="E4" s="133"/>
      <c r="F4" s="51"/>
      <c r="G4" s="133"/>
      <c r="H4" s="133"/>
      <c r="I4" s="51"/>
      <c r="J4" s="8"/>
      <c r="K4" s="9"/>
      <c r="L4" s="9"/>
      <c r="M4" s="9"/>
      <c r="N4" s="9"/>
      <c r="O4" s="9"/>
      <c r="P4" s="1"/>
    </row>
    <row r="5" spans="1:16" x14ac:dyDescent="0.25">
      <c r="A5" s="70" t="s">
        <v>33</v>
      </c>
      <c r="B5" s="9"/>
      <c r="C5" s="9"/>
      <c r="D5" s="10"/>
      <c r="E5" s="9"/>
      <c r="F5" s="123" t="s">
        <v>0</v>
      </c>
      <c r="G5" s="123" t="s">
        <v>1</v>
      </c>
      <c r="H5" s="123" t="s">
        <v>225</v>
      </c>
      <c r="I5" s="123" t="s">
        <v>226</v>
      </c>
      <c r="J5" s="21"/>
      <c r="K5" s="15"/>
      <c r="L5" s="15"/>
      <c r="M5" s="15"/>
      <c r="N5" s="15"/>
      <c r="O5" s="9"/>
      <c r="P5" s="1"/>
    </row>
    <row r="6" spans="1:16" ht="17.25" x14ac:dyDescent="0.3">
      <c r="A6" s="139" t="s">
        <v>71</v>
      </c>
      <c r="B6" s="140"/>
      <c r="C6" s="10"/>
      <c r="D6" s="10"/>
      <c r="E6" s="141"/>
      <c r="F6" s="23"/>
      <c r="G6" s="23"/>
      <c r="H6" s="23"/>
      <c r="I6" s="23"/>
      <c r="J6" s="22"/>
      <c r="K6" s="15"/>
      <c r="L6" s="15"/>
      <c r="M6" s="12">
        <f>SUM(F6+G6+H6+I6)</f>
        <v>0</v>
      </c>
      <c r="N6" s="36" t="s">
        <v>113</v>
      </c>
      <c r="O6" s="10"/>
      <c r="P6" s="1"/>
    </row>
    <row r="7" spans="1:16" ht="17.25" x14ac:dyDescent="0.3">
      <c r="A7" s="139" t="s">
        <v>40</v>
      </c>
      <c r="B7" s="140"/>
      <c r="C7" s="10"/>
      <c r="D7" s="143"/>
      <c r="E7" s="141"/>
      <c r="F7" s="23"/>
      <c r="G7" s="23"/>
      <c r="H7" s="23"/>
      <c r="I7" s="23"/>
      <c r="J7" s="22"/>
      <c r="K7" s="15"/>
      <c r="L7" s="15"/>
      <c r="M7" s="12">
        <f t="shared" ref="M7:M12" si="0">SUM(F7+G7+H7+I7)</f>
        <v>0</v>
      </c>
      <c r="N7" s="15"/>
      <c r="O7" s="10"/>
      <c r="P7" s="1"/>
    </row>
    <row r="8" spans="1:16" ht="17.25" x14ac:dyDescent="0.3">
      <c r="A8" s="139" t="s">
        <v>41</v>
      </c>
      <c r="B8" s="140"/>
      <c r="C8" s="10"/>
      <c r="D8" s="143"/>
      <c r="E8" s="141"/>
      <c r="F8" s="23"/>
      <c r="G8" s="23"/>
      <c r="H8" s="23"/>
      <c r="I8" s="23"/>
      <c r="J8" s="22"/>
      <c r="K8" s="15"/>
      <c r="L8" s="15"/>
      <c r="M8" s="12">
        <f t="shared" si="0"/>
        <v>0</v>
      </c>
      <c r="N8" s="15"/>
      <c r="O8" s="10"/>
      <c r="P8" s="1"/>
    </row>
    <row r="9" spans="1:16" ht="17.25" x14ac:dyDescent="0.3">
      <c r="A9" s="139" t="s">
        <v>75</v>
      </c>
      <c r="B9" s="140"/>
      <c r="C9" s="10"/>
      <c r="D9" s="143"/>
      <c r="E9" s="141"/>
      <c r="F9" s="23"/>
      <c r="G9" s="23"/>
      <c r="H9" s="23"/>
      <c r="I9" s="23"/>
      <c r="J9" s="22"/>
      <c r="K9" s="15"/>
      <c r="L9" s="15"/>
      <c r="M9" s="12">
        <f t="shared" si="0"/>
        <v>0</v>
      </c>
      <c r="N9" s="15"/>
      <c r="O9" s="10"/>
      <c r="P9" s="1"/>
    </row>
    <row r="10" spans="1:16" ht="17.25" x14ac:dyDescent="0.3">
      <c r="A10" s="144" t="s">
        <v>116</v>
      </c>
      <c r="B10" s="140"/>
      <c r="C10" s="10"/>
      <c r="D10" s="143"/>
      <c r="E10" s="141"/>
      <c r="F10" s="23"/>
      <c r="G10" s="23"/>
      <c r="H10" s="23"/>
      <c r="I10" s="23"/>
      <c r="J10" s="22"/>
      <c r="K10" s="15"/>
      <c r="L10" s="15"/>
      <c r="M10" s="12">
        <f t="shared" si="0"/>
        <v>0</v>
      </c>
      <c r="N10" s="15"/>
      <c r="O10" s="10"/>
      <c r="P10" s="1"/>
    </row>
    <row r="11" spans="1:16" ht="18" thickBot="1" x14ac:dyDescent="0.35">
      <c r="A11" s="139" t="s">
        <v>76</v>
      </c>
      <c r="B11" s="140"/>
      <c r="C11" s="10"/>
      <c r="D11" s="143"/>
      <c r="E11" s="141"/>
      <c r="F11" s="27"/>
      <c r="G11" s="27"/>
      <c r="H11" s="27"/>
      <c r="I11" s="27"/>
      <c r="J11" s="22"/>
      <c r="K11" s="15"/>
      <c r="L11" s="15"/>
      <c r="M11" s="28">
        <f t="shared" si="0"/>
        <v>0</v>
      </c>
      <c r="N11" s="15"/>
      <c r="O11" s="10"/>
      <c r="P11" s="1"/>
    </row>
    <row r="12" spans="1:16" ht="18" thickBot="1" x14ac:dyDescent="0.35">
      <c r="A12" s="145" t="s">
        <v>34</v>
      </c>
      <c r="B12" s="140"/>
      <c r="C12" s="10"/>
      <c r="D12" s="143"/>
      <c r="E12" s="141"/>
      <c r="F12" s="25">
        <f>SUM(F6:F11)</f>
        <v>0</v>
      </c>
      <c r="G12" s="25">
        <f>SUM(G6:G11)</f>
        <v>0</v>
      </c>
      <c r="H12" s="25">
        <f>SUM(H6:H11)</f>
        <v>0</v>
      </c>
      <c r="I12" s="25">
        <f>SUM(I6:I11)</f>
        <v>0</v>
      </c>
      <c r="J12" s="22"/>
      <c r="K12" s="15"/>
      <c r="L12" s="15"/>
      <c r="M12" s="25">
        <f t="shared" si="0"/>
        <v>0</v>
      </c>
      <c r="N12" s="15"/>
      <c r="O12" s="10"/>
      <c r="P12" s="1"/>
    </row>
    <row r="13" spans="1:16" ht="18" thickBot="1" x14ac:dyDescent="0.35">
      <c r="A13" s="145"/>
      <c r="B13" s="140"/>
      <c r="C13" s="10"/>
      <c r="D13" s="143"/>
      <c r="E13" s="141"/>
      <c r="F13" s="37"/>
      <c r="G13" s="142"/>
      <c r="H13" s="142"/>
      <c r="I13" s="37"/>
      <c r="J13" s="22"/>
      <c r="K13" s="15"/>
      <c r="L13" s="15"/>
      <c r="M13" s="37"/>
      <c r="N13" s="15"/>
      <c r="O13" s="10"/>
      <c r="P13" s="1"/>
    </row>
    <row r="14" spans="1:16" ht="15.75" customHeight="1" thickBot="1" x14ac:dyDescent="0.3">
      <c r="A14" s="9"/>
      <c r="B14" s="9"/>
      <c r="C14" s="10"/>
      <c r="D14" s="10"/>
      <c r="E14" s="141"/>
      <c r="F14" s="179" t="s">
        <v>31</v>
      </c>
      <c r="G14" s="180"/>
      <c r="H14" s="180"/>
      <c r="I14" s="181"/>
      <c r="J14" s="11"/>
      <c r="K14" s="9"/>
      <c r="L14" s="179" t="s">
        <v>32</v>
      </c>
      <c r="M14" s="180"/>
      <c r="N14" s="181"/>
      <c r="O14" s="38" t="s">
        <v>73</v>
      </c>
      <c r="P14" s="1"/>
    </row>
    <row r="15" spans="1:16" x14ac:dyDescent="0.25">
      <c r="A15" s="70" t="s">
        <v>35</v>
      </c>
      <c r="B15" s="9"/>
      <c r="C15" s="10"/>
      <c r="D15" s="10"/>
      <c r="E15" s="141"/>
      <c r="F15" s="141"/>
      <c r="G15" s="141"/>
      <c r="H15" s="146"/>
      <c r="I15" s="141"/>
      <c r="J15" s="11"/>
      <c r="K15" s="9"/>
      <c r="L15" s="9"/>
      <c r="M15" s="9"/>
      <c r="N15" s="9"/>
      <c r="O15" s="9"/>
      <c r="P15" s="1"/>
    </row>
    <row r="16" spans="1:16" x14ac:dyDescent="0.25">
      <c r="A16" s="139" t="s">
        <v>132</v>
      </c>
      <c r="B16" s="9"/>
      <c r="C16" s="10"/>
      <c r="D16" s="10"/>
      <c r="E16" s="141"/>
      <c r="F16" s="14"/>
      <c r="G16" s="141"/>
      <c r="H16" s="146"/>
      <c r="I16" s="141"/>
      <c r="J16" s="11"/>
      <c r="K16" s="9"/>
      <c r="L16" s="9"/>
      <c r="M16" s="24">
        <f>IF(F16&gt;=O16,F16,O16)</f>
        <v>420</v>
      </c>
      <c r="N16" s="15"/>
      <c r="O16" s="17">
        <f>IF(AND('ONS Data BTL'!E13="YES",'ONS Data BTL'!E14="YES"),'ONS Data BTL'!F9,IF(AND('ONS Data BTL'!E13="YES",'ONS Data BTL'!E14="NO"),'ONS Data BTL'!F10,IF(AND('ONS Data BTL'!E13="NO",'ONS Data BTL'!E14="YES"),'ONS Data BTL'!G9,'ONS Data BTL'!G10)))</f>
        <v>420</v>
      </c>
      <c r="P16" s="1"/>
    </row>
    <row r="17" spans="1:16" x14ac:dyDescent="0.25">
      <c r="A17" s="178" t="s">
        <v>163</v>
      </c>
      <c r="B17" s="178"/>
      <c r="C17" s="178"/>
      <c r="D17" s="178"/>
      <c r="E17" s="141"/>
      <c r="F17" s="96" t="e">
        <f>IF(Results!H26="Use Income",Results!H29-Results!H20,0)</f>
        <v>#DIV/0!</v>
      </c>
      <c r="G17" s="141"/>
      <c r="H17" s="146"/>
      <c r="I17" s="141"/>
      <c r="J17" s="11"/>
      <c r="K17" s="9"/>
      <c r="L17" s="9"/>
      <c r="M17" s="24" t="e">
        <f>IF(F17&gt;=O17,F17,O17)</f>
        <v>#DIV/0!</v>
      </c>
      <c r="N17" s="15"/>
      <c r="O17" s="94"/>
      <c r="P17" s="1"/>
    </row>
    <row r="18" spans="1:16" ht="17.25" x14ac:dyDescent="0.3">
      <c r="A18" s="144" t="s">
        <v>147</v>
      </c>
      <c r="B18" s="140"/>
      <c r="C18" s="10"/>
      <c r="D18" s="143"/>
      <c r="E18" s="141"/>
      <c r="F18" s="14"/>
      <c r="G18" s="142"/>
      <c r="H18" s="142"/>
      <c r="I18" s="3"/>
      <c r="J18" s="22"/>
      <c r="K18" s="15"/>
      <c r="L18" s="15"/>
      <c r="M18" s="24">
        <f>IF(F18&gt;=O18,F18,O18)</f>
        <v>354.90000000000003</v>
      </c>
      <c r="N18" s="15"/>
      <c r="O18" s="17">
        <f>VLOOKUP(Income!F18,'ONS Data'!A:I,4,FALSE)</f>
        <v>354.90000000000003</v>
      </c>
      <c r="P18" s="1"/>
    </row>
    <row r="19" spans="1:16" ht="17.25" x14ac:dyDescent="0.3">
      <c r="A19" s="139" t="s">
        <v>36</v>
      </c>
      <c r="B19" s="140"/>
      <c r="C19" s="10"/>
      <c r="D19" s="143"/>
      <c r="E19" s="141"/>
      <c r="F19" s="23"/>
      <c r="G19" s="142"/>
      <c r="H19" s="142"/>
      <c r="I19" s="3"/>
      <c r="J19" s="22"/>
      <c r="K19" s="15"/>
      <c r="L19" s="15"/>
      <c r="M19" s="24">
        <f>SUM(F19)</f>
        <v>0</v>
      </c>
      <c r="N19" s="15"/>
      <c r="O19" s="13"/>
      <c r="P19" s="1"/>
    </row>
    <row r="20" spans="1:16" ht="18" thickBot="1" x14ac:dyDescent="0.35">
      <c r="A20" s="144" t="s">
        <v>37</v>
      </c>
      <c r="B20" s="140"/>
      <c r="C20" s="10"/>
      <c r="D20" s="143"/>
      <c r="E20" s="141"/>
      <c r="F20" s="27"/>
      <c r="G20" s="142"/>
      <c r="H20" s="142"/>
      <c r="I20" s="3"/>
      <c r="J20" s="22"/>
      <c r="K20" s="15"/>
      <c r="L20" s="15"/>
      <c r="M20" s="33">
        <f>SUM(F20)</f>
        <v>0</v>
      </c>
      <c r="N20" s="15"/>
      <c r="O20" s="21"/>
      <c r="P20" s="1"/>
    </row>
    <row r="21" spans="1:16" ht="18" thickBot="1" x14ac:dyDescent="0.35">
      <c r="A21" s="145" t="s">
        <v>34</v>
      </c>
      <c r="B21" s="140"/>
      <c r="C21" s="10"/>
      <c r="D21" s="143"/>
      <c r="E21" s="141"/>
      <c r="F21" s="25" t="e">
        <f>SUM(F16:F20)</f>
        <v>#DIV/0!</v>
      </c>
      <c r="G21" s="142"/>
      <c r="H21" s="142"/>
      <c r="I21" s="3"/>
      <c r="J21" s="22"/>
      <c r="K21" s="15"/>
      <c r="L21" s="15"/>
      <c r="M21" s="25" t="e">
        <f>SUM(M16:M20)</f>
        <v>#DIV/0!</v>
      </c>
      <c r="N21" s="15"/>
      <c r="O21" s="20"/>
      <c r="P21" s="1"/>
    </row>
    <row r="22" spans="1:16" x14ac:dyDescent="0.25">
      <c r="A22" s="9"/>
      <c r="B22" s="9"/>
      <c r="C22" s="10"/>
      <c r="D22" s="10"/>
      <c r="E22" s="141"/>
      <c r="F22" s="141"/>
      <c r="G22" s="141"/>
      <c r="H22" s="146"/>
      <c r="I22" s="1"/>
      <c r="J22" s="11"/>
      <c r="K22" s="9"/>
      <c r="L22" s="9"/>
      <c r="M22" s="9"/>
      <c r="N22" s="9"/>
      <c r="O22" s="9"/>
      <c r="P22" s="1"/>
    </row>
    <row r="23" spans="1:16" x14ac:dyDescent="0.25">
      <c r="A23" s="70" t="s">
        <v>38</v>
      </c>
      <c r="B23" s="9"/>
      <c r="C23" s="10"/>
      <c r="D23" s="10"/>
      <c r="E23" s="141"/>
      <c r="F23" s="141"/>
      <c r="G23" s="141"/>
      <c r="H23" s="146"/>
      <c r="I23" s="1"/>
      <c r="J23" s="11"/>
      <c r="K23" s="9"/>
      <c r="L23" s="9"/>
      <c r="M23" s="9"/>
      <c r="N23" s="9"/>
      <c r="O23" s="9"/>
      <c r="P23" s="1"/>
    </row>
    <row r="24" spans="1:16" ht="17.25" x14ac:dyDescent="0.3">
      <c r="A24" s="139" t="s">
        <v>148</v>
      </c>
      <c r="B24" s="140"/>
      <c r="C24" s="10"/>
      <c r="D24" s="10"/>
      <c r="E24" s="141"/>
      <c r="F24" s="14"/>
      <c r="G24" s="141"/>
      <c r="H24" s="141"/>
      <c r="I24" s="1"/>
      <c r="J24" s="11"/>
      <c r="K24" s="9"/>
      <c r="L24" s="9"/>
      <c r="M24" s="24">
        <f>IF(F24&gt;=O24,F24,O24)</f>
        <v>136.06666666666666</v>
      </c>
      <c r="N24" s="15"/>
      <c r="O24" s="16">
        <f>VLOOKUP(Income!F18,'ONS Data'!A:I,7,FALSE)</f>
        <v>136.06666666666666</v>
      </c>
      <c r="P24" s="1"/>
    </row>
    <row r="25" spans="1:16" ht="17.25" x14ac:dyDescent="0.3">
      <c r="A25" s="139" t="s">
        <v>149</v>
      </c>
      <c r="B25" s="140"/>
      <c r="C25" s="10"/>
      <c r="D25" s="143"/>
      <c r="E25" s="141"/>
      <c r="F25" s="14"/>
      <c r="G25" s="141"/>
      <c r="H25" s="141"/>
      <c r="I25" s="1"/>
      <c r="J25" s="11"/>
      <c r="K25" s="9"/>
      <c r="L25" s="9"/>
      <c r="M25" s="24">
        <f>IF(F25&gt;=O25,F25,O25)</f>
        <v>42.466666666666669</v>
      </c>
      <c r="N25" s="15"/>
      <c r="O25" s="18">
        <f>VLOOKUP(Income!F18,'ONS Data'!A:I,9,FALSE)</f>
        <v>42.466666666666669</v>
      </c>
      <c r="P25" s="1"/>
    </row>
    <row r="26" spans="1:16" ht="17.25" x14ac:dyDescent="0.3">
      <c r="A26" s="139" t="s">
        <v>150</v>
      </c>
      <c r="B26" s="140"/>
      <c r="C26" s="10"/>
      <c r="D26" s="143"/>
      <c r="E26" s="141"/>
      <c r="F26" s="14"/>
      <c r="G26" s="141"/>
      <c r="H26" s="141"/>
      <c r="I26" s="1"/>
      <c r="J26" s="11"/>
      <c r="K26" s="9"/>
      <c r="L26" s="9"/>
      <c r="M26" s="24">
        <f>SUM(F26)</f>
        <v>0</v>
      </c>
      <c r="N26" s="15"/>
      <c r="O26" s="17"/>
      <c r="P26" s="1"/>
    </row>
    <row r="27" spans="1:16" ht="17.25" x14ac:dyDescent="0.3">
      <c r="A27" s="139" t="s">
        <v>151</v>
      </c>
      <c r="B27" s="140"/>
      <c r="C27" s="10"/>
      <c r="D27" s="143"/>
      <c r="E27" s="141"/>
      <c r="F27" s="14"/>
      <c r="G27" s="141"/>
      <c r="H27" s="141"/>
      <c r="I27" s="1"/>
      <c r="J27" s="11"/>
      <c r="K27" s="9"/>
      <c r="L27" s="9"/>
      <c r="M27" s="24">
        <f>IF(F27&gt;=O27,F27,O27)</f>
        <v>23.833333333333332</v>
      </c>
      <c r="N27" s="15"/>
      <c r="O27" s="17">
        <f>VLOOKUP(Income!F18,'ONS Data'!A:I,6,FALSE)</f>
        <v>23.833333333333332</v>
      </c>
      <c r="P27" s="1"/>
    </row>
    <row r="28" spans="1:16" ht="18" thickBot="1" x14ac:dyDescent="0.35">
      <c r="A28" s="144" t="s">
        <v>43</v>
      </c>
      <c r="B28" s="140"/>
      <c r="C28" s="10"/>
      <c r="D28" s="143"/>
      <c r="E28" s="141"/>
      <c r="F28" s="26"/>
      <c r="G28" s="141"/>
      <c r="H28" s="141"/>
      <c r="I28" s="1"/>
      <c r="J28" s="11"/>
      <c r="K28" s="9"/>
      <c r="L28" s="9"/>
      <c r="M28" s="33">
        <f>SUM(F28)</f>
        <v>0</v>
      </c>
      <c r="N28" s="15"/>
      <c r="O28" s="19"/>
      <c r="P28" s="1"/>
    </row>
    <row r="29" spans="1:16" ht="18" thickBot="1" x14ac:dyDescent="0.35">
      <c r="A29" s="145" t="s">
        <v>34</v>
      </c>
      <c r="B29" s="140"/>
      <c r="C29" s="10"/>
      <c r="D29" s="143"/>
      <c r="E29" s="141"/>
      <c r="F29" s="25">
        <f>SUM(F24:F28)</f>
        <v>0</v>
      </c>
      <c r="G29" s="141"/>
      <c r="H29" s="141"/>
      <c r="I29" s="1"/>
      <c r="J29" s="11"/>
      <c r="K29" s="9"/>
      <c r="L29" s="9"/>
      <c r="M29" s="25">
        <f>SUM(M24:M28)</f>
        <v>202.36666666666667</v>
      </c>
      <c r="N29" s="15"/>
      <c r="O29" s="20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 thickBot="1" x14ac:dyDescent="0.3">
      <c r="A32" s="147" t="s">
        <v>39</v>
      </c>
      <c r="B32" s="1"/>
      <c r="C32" s="1"/>
      <c r="D32" s="1"/>
      <c r="E32" s="1"/>
      <c r="F32" s="29" t="e">
        <f>SUM(F12+G12+H12+I12+F21+F29)</f>
        <v>#DIV/0!</v>
      </c>
      <c r="G32" s="1"/>
      <c r="H32" s="1"/>
      <c r="I32" s="1"/>
      <c r="J32" s="1"/>
      <c r="K32" s="1"/>
      <c r="L32" s="1"/>
      <c r="M32" s="29" t="e">
        <f>SUM(M12+M21+M29)</f>
        <v>#DIV/0!</v>
      </c>
      <c r="N32" s="1"/>
      <c r="O32" s="1"/>
      <c r="P32" s="1"/>
    </row>
  </sheetData>
  <sheetProtection algorithmName="SHA-512" hashValue="O06bcaIQIk4GA+oOCzVUHFRhgdSSxTE2aJS0ikiyxRJfizWhygxvTf8JoE5h8kCMrVB+R37neSl+Q2lbkpJbzg==" saltValue="P0MUGtjESQuXSmJFQsw8Yg==" spinCount="100000" sheet="1" selectLockedCells="1"/>
  <mergeCells count="6">
    <mergeCell ref="A17:D17"/>
    <mergeCell ref="B1:C1"/>
    <mergeCell ref="F3:I3"/>
    <mergeCell ref="L3:N3"/>
    <mergeCell ref="F14:I14"/>
    <mergeCell ref="L14:N1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51"/>
  <sheetViews>
    <sheetView zoomScale="90" zoomScaleNormal="90" workbookViewId="0">
      <selection activeCell="D3" sqref="D3:H3"/>
    </sheetView>
  </sheetViews>
  <sheetFormatPr defaultRowHeight="15" x14ac:dyDescent="0.25"/>
  <cols>
    <col min="2" max="2" width="7.5703125" customWidth="1"/>
    <col min="3" max="3" width="13.5703125" customWidth="1"/>
    <col min="6" max="6" width="9.5703125" customWidth="1"/>
    <col min="8" max="8" width="26.85546875" bestFit="1" customWidth="1"/>
    <col min="10" max="10" width="10.42578125" style="61" customWidth="1"/>
    <col min="11" max="11" width="13.140625" customWidth="1"/>
    <col min="17" max="17" width="15.140625" customWidth="1"/>
  </cols>
  <sheetData>
    <row r="1" spans="1:17" ht="16.5" thickBot="1" x14ac:dyDescent="0.3">
      <c r="A1" s="121" t="s">
        <v>112</v>
      </c>
      <c r="B1" s="172">
        <f ca="1">TODAY()</f>
        <v>44326</v>
      </c>
      <c r="C1" s="173"/>
      <c r="D1" s="1"/>
      <c r="E1" s="1"/>
      <c r="F1" s="1"/>
      <c r="G1" s="1"/>
      <c r="H1" s="1"/>
      <c r="I1" s="1"/>
      <c r="J1" s="66"/>
      <c r="K1" s="1"/>
      <c r="L1" s="1"/>
      <c r="M1" s="1"/>
      <c r="N1" s="1"/>
      <c r="O1" s="1"/>
      <c r="P1" s="1"/>
      <c r="Q1" s="1"/>
    </row>
    <row r="2" spans="1:17" ht="16.5" thickBot="1" x14ac:dyDescent="0.3">
      <c r="A2" s="148"/>
      <c r="B2" s="149"/>
      <c r="C2" s="149"/>
      <c r="D2" s="1"/>
      <c r="E2" s="1"/>
      <c r="F2" s="1"/>
      <c r="G2" s="1"/>
      <c r="H2" s="1"/>
      <c r="I2" s="1"/>
      <c r="J2" s="66"/>
      <c r="K2" s="1"/>
      <c r="L2" s="1"/>
      <c r="M2" s="1"/>
      <c r="N2" s="1"/>
      <c r="O2" s="1"/>
      <c r="P2" s="1"/>
      <c r="Q2" s="1"/>
    </row>
    <row r="3" spans="1:17" ht="20.25" thickTop="1" thickBot="1" x14ac:dyDescent="0.35">
      <c r="A3" s="138" t="s">
        <v>50</v>
      </c>
      <c r="B3" s="1"/>
      <c r="C3" s="1"/>
      <c r="D3" s="182" t="s">
        <v>236</v>
      </c>
      <c r="E3" s="183"/>
      <c r="F3" s="183"/>
      <c r="G3" s="183"/>
      <c r="H3" s="184"/>
      <c r="I3" s="1"/>
      <c r="J3" s="66"/>
      <c r="K3" s="1"/>
      <c r="L3" s="1"/>
      <c r="M3" s="1"/>
      <c r="N3" s="1"/>
      <c r="O3" s="1"/>
      <c r="P3" s="1"/>
      <c r="Q3" s="1"/>
    </row>
    <row r="4" spans="1:17" ht="19.5" thickTop="1" x14ac:dyDescent="0.3">
      <c r="A4" s="138"/>
      <c r="B4" s="1"/>
      <c r="C4" s="1"/>
      <c r="D4" s="73"/>
      <c r="E4" s="73"/>
      <c r="F4" s="73"/>
      <c r="G4" s="1"/>
      <c r="H4" s="1"/>
      <c r="I4" s="1"/>
      <c r="J4" s="66"/>
      <c r="K4" s="1"/>
      <c r="L4" s="1"/>
      <c r="M4" s="1"/>
      <c r="N4" s="1"/>
      <c r="O4" s="1"/>
      <c r="P4" s="1"/>
      <c r="Q4" s="1"/>
    </row>
    <row r="5" spans="1:17" ht="16.5" thickBot="1" x14ac:dyDescent="0.3">
      <c r="A5" s="150" t="s">
        <v>23</v>
      </c>
      <c r="B5" s="3"/>
      <c r="C5" s="73"/>
      <c r="D5" s="49"/>
      <c r="E5" s="49"/>
      <c r="F5" s="49"/>
      <c r="G5" s="49"/>
      <c r="H5" s="1"/>
      <c r="I5" s="1"/>
      <c r="J5" s="66"/>
      <c r="K5" s="1"/>
      <c r="L5" s="1"/>
      <c r="M5" s="1"/>
      <c r="N5" s="1"/>
      <c r="O5" s="1"/>
      <c r="P5" s="1"/>
      <c r="Q5" s="1"/>
    </row>
    <row r="6" spans="1:17" x14ac:dyDescent="0.25">
      <c r="A6" s="151" t="s">
        <v>24</v>
      </c>
      <c r="B6" s="152"/>
      <c r="C6" s="49"/>
      <c r="D6" s="49"/>
      <c r="E6" s="49"/>
      <c r="F6" s="49"/>
      <c r="G6" s="49"/>
      <c r="H6" s="58"/>
      <c r="I6" s="1"/>
      <c r="J6" s="66"/>
      <c r="K6" s="153"/>
      <c r="L6" s="1"/>
      <c r="M6" s="1"/>
      <c r="N6" s="1"/>
      <c r="O6" s="1"/>
      <c r="P6" s="1"/>
      <c r="Q6" s="1"/>
    </row>
    <row r="7" spans="1:17" x14ac:dyDescent="0.25">
      <c r="A7" s="151" t="s">
        <v>25</v>
      </c>
      <c r="B7" s="152"/>
      <c r="C7" s="49"/>
      <c r="D7" s="49"/>
      <c r="E7" s="49"/>
      <c r="F7" s="49"/>
      <c r="G7" s="49"/>
      <c r="H7" s="99">
        <f>VLOOKUP($D$3,Table_Query_from_DPR_DMART[],2,FALSE)</f>
        <v>5.49</v>
      </c>
      <c r="I7" s="1"/>
      <c r="J7" s="66"/>
      <c r="K7" s="153"/>
      <c r="L7" s="1"/>
      <c r="M7" s="1"/>
      <c r="N7" s="1"/>
      <c r="O7" s="1"/>
      <c r="P7" s="1"/>
      <c r="Q7" s="1"/>
    </row>
    <row r="8" spans="1:17" x14ac:dyDescent="0.25">
      <c r="A8" s="151" t="s">
        <v>26</v>
      </c>
      <c r="B8" s="152"/>
      <c r="C8" s="49"/>
      <c r="D8" s="49"/>
      <c r="E8" s="49"/>
      <c r="F8" s="49"/>
      <c r="G8" s="49"/>
      <c r="H8" s="59"/>
      <c r="I8" s="1"/>
      <c r="J8" s="66"/>
      <c r="K8" s="1"/>
      <c r="L8" s="1"/>
      <c r="M8" s="1"/>
      <c r="N8" s="1"/>
      <c r="O8" s="1"/>
      <c r="P8" s="1"/>
      <c r="Q8" s="1"/>
    </row>
    <row r="9" spans="1:17" x14ac:dyDescent="0.25">
      <c r="A9" s="151" t="s">
        <v>128</v>
      </c>
      <c r="B9" s="152"/>
      <c r="C9" s="49"/>
      <c r="D9" s="49"/>
      <c r="E9" s="49"/>
      <c r="F9" s="49"/>
      <c r="G9" s="49"/>
      <c r="H9" s="99" t="str">
        <f>VLOOKUP($D$3,Table_Query_from_DPR_DMART[],6,FALSE)</f>
        <v>Discounted</v>
      </c>
      <c r="I9" s="1"/>
      <c r="J9" s="66"/>
      <c r="K9" s="75"/>
      <c r="L9" s="1"/>
      <c r="M9" s="1"/>
      <c r="N9" s="1"/>
      <c r="O9" s="1"/>
      <c r="P9" s="1"/>
      <c r="Q9" s="1"/>
    </row>
    <row r="10" spans="1:17" x14ac:dyDescent="0.25">
      <c r="A10" s="151" t="s">
        <v>129</v>
      </c>
      <c r="B10" s="152"/>
      <c r="C10" s="49"/>
      <c r="D10" s="49"/>
      <c r="E10" s="49"/>
      <c r="F10" s="49"/>
      <c r="G10" s="49"/>
      <c r="H10" s="99" t="str">
        <f>VLOOKUP($D$3,Table_Query_from_DPR_DMART[],5,FALSE)</f>
        <v/>
      </c>
      <c r="I10" s="1"/>
      <c r="J10" s="66"/>
      <c r="K10" s="154"/>
      <c r="L10" s="1"/>
      <c r="M10" s="1"/>
      <c r="N10" s="1"/>
      <c r="O10" s="1"/>
      <c r="P10" s="1"/>
      <c r="Q10" s="1"/>
    </row>
    <row r="11" spans="1:17" x14ac:dyDescent="0.25">
      <c r="A11" s="155" t="s">
        <v>130</v>
      </c>
      <c r="B11" s="152"/>
      <c r="C11" s="49"/>
      <c r="D11" s="49"/>
      <c r="E11" s="49"/>
      <c r="F11" s="49"/>
      <c r="G11" s="49"/>
      <c r="H11" s="99" t="str">
        <f>IF(VLOOKUP($D$3,Table_Query_from_DPR_DMART[],5,FALSE)="5YR","Y","N")</f>
        <v>N</v>
      </c>
      <c r="I11" s="1"/>
      <c r="J11" s="66"/>
      <c r="K11" s="156"/>
      <c r="L11" s="1"/>
      <c r="M11" s="1"/>
      <c r="N11" s="1"/>
      <c r="O11" s="1"/>
      <c r="P11" s="1"/>
      <c r="Q11" s="1"/>
    </row>
    <row r="12" spans="1:17" x14ac:dyDescent="0.25">
      <c r="A12" s="155" t="s">
        <v>131</v>
      </c>
      <c r="B12" s="152"/>
      <c r="C12" s="49"/>
      <c r="D12" s="49"/>
      <c r="E12" s="49"/>
      <c r="F12" s="49"/>
      <c r="G12" s="49"/>
      <c r="H12" s="99" t="str">
        <f>IF(VLOOKUP($D$3,Table_Query_from_DPR_DMART[],5,FALSE)="5YR",VLOOKUP($D$3,Table_Query_from_DPR_DMART[],3,FALSE),"-")</f>
        <v>-</v>
      </c>
      <c r="I12" s="1"/>
      <c r="J12" s="66"/>
      <c r="K12" s="156"/>
      <c r="L12" s="1"/>
      <c r="M12" s="1"/>
      <c r="N12" s="1"/>
      <c r="O12" s="1"/>
      <c r="P12" s="1"/>
      <c r="Q12" s="1"/>
    </row>
    <row r="13" spans="1:17" x14ac:dyDescent="0.25">
      <c r="A13" s="155" t="s">
        <v>27</v>
      </c>
      <c r="B13" s="152"/>
      <c r="C13" s="49"/>
      <c r="D13" s="49"/>
      <c r="E13" s="49"/>
      <c r="F13" s="49"/>
      <c r="G13" s="49"/>
      <c r="H13" s="99">
        <f>VLOOKUP($D$3,Table_Query_from_DPR_DMART[],4,FALSE)</f>
        <v>5.79</v>
      </c>
      <c r="I13" s="1"/>
      <c r="J13" s="66"/>
      <c r="K13" s="1"/>
      <c r="L13" s="1"/>
      <c r="M13" s="1"/>
      <c r="N13" s="1"/>
      <c r="O13" s="1"/>
      <c r="P13" s="1"/>
      <c r="Q13" s="1"/>
    </row>
    <row r="14" spans="1:17" ht="30.75" customHeight="1" x14ac:dyDescent="0.25">
      <c r="A14" s="188" t="s">
        <v>220</v>
      </c>
      <c r="B14" s="188"/>
      <c r="C14" s="188"/>
      <c r="D14" s="188"/>
      <c r="E14" s="188"/>
      <c r="F14" s="188"/>
      <c r="G14" s="49"/>
      <c r="H14" s="59"/>
      <c r="I14" s="1"/>
      <c r="J14" s="66"/>
      <c r="K14" s="1"/>
      <c r="L14" s="1"/>
      <c r="M14" s="1"/>
      <c r="N14" s="1"/>
      <c r="O14" s="1"/>
      <c r="P14" s="1"/>
      <c r="Q14" s="1"/>
    </row>
    <row r="15" spans="1:17" x14ac:dyDescent="0.25">
      <c r="A15" s="155" t="s">
        <v>77</v>
      </c>
      <c r="B15" s="152"/>
      <c r="C15" s="49"/>
      <c r="D15" s="49"/>
      <c r="E15" s="49"/>
      <c r="F15" s="49"/>
      <c r="G15" s="49"/>
      <c r="H15" s="59"/>
      <c r="I15" s="1"/>
      <c r="J15" s="66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155" t="s">
        <v>229</v>
      </c>
      <c r="B16" s="152"/>
      <c r="C16" s="49"/>
      <c r="D16" s="49"/>
      <c r="E16" s="49"/>
      <c r="F16" s="49"/>
      <c r="G16" s="49"/>
      <c r="H16" s="60"/>
      <c r="I16" s="1"/>
      <c r="J16" s="66"/>
      <c r="K16" s="1"/>
      <c r="L16" s="1"/>
      <c r="M16" s="1"/>
      <c r="N16" s="1"/>
      <c r="O16" s="1"/>
      <c r="P16" s="1"/>
      <c r="Q16" s="1"/>
    </row>
    <row r="17" spans="1:17" ht="15.75" thickBot="1" x14ac:dyDescent="0.3">
      <c r="A17" s="157"/>
      <c r="B17" s="49"/>
      <c r="C17" s="49"/>
      <c r="D17" s="1"/>
      <c r="E17" s="1"/>
      <c r="F17" s="1"/>
      <c r="G17" s="1"/>
      <c r="H17" s="158"/>
      <c r="I17" s="159"/>
      <c r="J17" s="66"/>
      <c r="K17" s="1"/>
      <c r="L17" s="1"/>
      <c r="M17" s="1"/>
      <c r="N17" s="1"/>
      <c r="O17" s="1"/>
      <c r="P17" s="1"/>
      <c r="Q17" s="1"/>
    </row>
    <row r="18" spans="1:17" ht="15.75" thickBot="1" x14ac:dyDescent="0.3">
      <c r="A18" s="9"/>
      <c r="B18" s="1"/>
      <c r="C18" s="1"/>
      <c r="D18" s="1"/>
      <c r="E18" s="1"/>
      <c r="F18" s="1"/>
      <c r="G18" s="1"/>
      <c r="H18" s="65" t="s">
        <v>141</v>
      </c>
      <c r="I18" s="1"/>
      <c r="J18" s="66"/>
      <c r="K18" s="67" t="s">
        <v>167</v>
      </c>
      <c r="L18" s="1"/>
      <c r="M18" s="100">
        <f>IF(AND(Income!F15="A",'ONS Data BTL'!E14="NO"),130%,IF(AND(H14="N",'ONS Data BTL'!E14="YES"),130%,IF('ONS Data BTL'!E14="NO",125%,140%)))</f>
        <v>1.3</v>
      </c>
      <c r="N18" s="1"/>
      <c r="O18" s="1"/>
      <c r="P18" s="68"/>
      <c r="Q18" s="1"/>
    </row>
    <row r="19" spans="1:17" ht="15.75" thickBot="1" x14ac:dyDescent="0.3">
      <c r="A19" s="9"/>
      <c r="B19" s="1"/>
      <c r="C19" s="1"/>
      <c r="D19" s="1"/>
      <c r="E19" s="1"/>
      <c r="F19" s="1"/>
      <c r="G19" s="1"/>
      <c r="H19" s="63"/>
      <c r="I19" s="1"/>
      <c r="J19" s="66"/>
      <c r="K19" s="1"/>
      <c r="L19" s="1"/>
      <c r="M19" s="1"/>
      <c r="N19" s="1"/>
      <c r="O19" s="1"/>
      <c r="P19" s="69"/>
      <c r="Q19" s="1"/>
    </row>
    <row r="20" spans="1:17" ht="15.75" customHeight="1" thickBot="1" x14ac:dyDescent="0.3">
      <c r="A20" s="9"/>
      <c r="B20" s="1"/>
      <c r="C20" s="1"/>
      <c r="D20" s="70" t="s">
        <v>115</v>
      </c>
      <c r="E20" s="1"/>
      <c r="F20" s="1"/>
      <c r="G20" s="1"/>
      <c r="H20" s="101">
        <f>Income!F21</f>
        <v>0</v>
      </c>
      <c r="I20" s="1"/>
      <c r="J20" s="66"/>
      <c r="K20" s="185" t="s">
        <v>60</v>
      </c>
      <c r="L20" s="186" t="s">
        <v>168</v>
      </c>
      <c r="M20" s="186"/>
      <c r="N20" s="186"/>
      <c r="O20" s="186"/>
      <c r="P20" s="186"/>
      <c r="Q20" s="186"/>
    </row>
    <row r="21" spans="1:17" ht="15.75" thickBot="1" x14ac:dyDescent="0.3">
      <c r="A21" s="9"/>
      <c r="B21" s="1"/>
      <c r="C21" s="1"/>
      <c r="D21" s="70"/>
      <c r="E21" s="1"/>
      <c r="F21" s="1"/>
      <c r="G21" s="1"/>
      <c r="H21" s="64"/>
      <c r="I21" s="1"/>
      <c r="J21" s="97"/>
      <c r="K21" s="185"/>
      <c r="L21" s="186"/>
      <c r="M21" s="186"/>
      <c r="N21" s="186"/>
      <c r="O21" s="186"/>
      <c r="P21" s="186"/>
      <c r="Q21" s="186"/>
    </row>
    <row r="22" spans="1:17" ht="15.75" thickBot="1" x14ac:dyDescent="0.3">
      <c r="A22" s="71"/>
      <c r="B22" s="1"/>
      <c r="C22" s="1"/>
      <c r="D22" s="72" t="s">
        <v>28</v>
      </c>
      <c r="E22" s="73"/>
      <c r="F22" s="73"/>
      <c r="G22" s="1"/>
      <c r="H22" s="101" t="b">
        <f>IF(H15="C",PMT(H13/100/12,H8*12,(0-H6),0),IF(H15="I",H6*H13/100/12))</f>
        <v>0</v>
      </c>
      <c r="I22" s="3"/>
      <c r="J22" s="109"/>
      <c r="K22" s="185"/>
      <c r="L22" s="186"/>
      <c r="M22" s="186"/>
      <c r="N22" s="186"/>
      <c r="O22" s="186"/>
      <c r="P22" s="186"/>
      <c r="Q22" s="186"/>
    </row>
    <row r="23" spans="1:17" ht="15.75" thickBot="1" x14ac:dyDescent="0.3">
      <c r="A23" s="9"/>
      <c r="B23" s="1"/>
      <c r="C23" s="1"/>
      <c r="D23" s="3"/>
      <c r="E23" s="73"/>
      <c r="F23" s="73"/>
      <c r="G23" s="1"/>
      <c r="H23" s="3"/>
      <c r="I23" s="72"/>
      <c r="J23" s="66"/>
      <c r="K23" s="1"/>
      <c r="L23" s="1"/>
      <c r="M23" s="1"/>
      <c r="N23" s="1"/>
      <c r="O23" s="1"/>
      <c r="P23" s="1"/>
      <c r="Q23" s="1"/>
    </row>
    <row r="24" spans="1:17" ht="15.75" customHeight="1" thickBot="1" x14ac:dyDescent="0.3">
      <c r="A24" s="9"/>
      <c r="B24" s="1"/>
      <c r="C24" s="1"/>
      <c r="D24" s="65" t="s">
        <v>166</v>
      </c>
      <c r="E24" s="73"/>
      <c r="F24" s="73"/>
      <c r="G24" s="1"/>
      <c r="H24" s="102" t="e">
        <f>H20/(H6*H13/100/12)</f>
        <v>#DIV/0!</v>
      </c>
      <c r="I24" s="95"/>
      <c r="J24" s="66"/>
      <c r="K24" s="185" t="s">
        <v>142</v>
      </c>
      <c r="L24" s="186" t="s">
        <v>169</v>
      </c>
      <c r="M24" s="186"/>
      <c r="N24" s="186"/>
      <c r="O24" s="186"/>
      <c r="P24" s="186"/>
      <c r="Q24" s="186"/>
    </row>
    <row r="25" spans="1:17" ht="15.75" thickBot="1" x14ac:dyDescent="0.3">
      <c r="A25" s="9"/>
      <c r="B25" s="1"/>
      <c r="C25" s="1"/>
      <c r="D25" s="3"/>
      <c r="E25" s="73"/>
      <c r="F25" s="73"/>
      <c r="G25" s="1"/>
      <c r="H25" s="3"/>
      <c r="I25" s="72"/>
      <c r="J25" s="66"/>
      <c r="K25" s="185"/>
      <c r="L25" s="186"/>
      <c r="M25" s="186"/>
      <c r="N25" s="186"/>
      <c r="O25" s="186"/>
      <c r="P25" s="186"/>
      <c r="Q25" s="186"/>
    </row>
    <row r="26" spans="1:17" ht="15.75" thickBot="1" x14ac:dyDescent="0.3">
      <c r="A26" s="9"/>
      <c r="B26" s="1"/>
      <c r="C26" s="1"/>
      <c r="D26" s="65" t="s">
        <v>170</v>
      </c>
      <c r="E26" s="73"/>
      <c r="F26" s="73"/>
      <c r="G26" s="1"/>
      <c r="H26" s="103" t="e">
        <f>IF(AND(H24 &gt;=M18,H16="Y"),"PASS - as CBTL Use Income", IF(H24 &gt;=M18,"PASS","Use Income"))</f>
        <v>#DIV/0!</v>
      </c>
      <c r="I26" s="72"/>
      <c r="J26" s="66"/>
      <c r="K26" s="185"/>
      <c r="L26" s="186"/>
      <c r="M26" s="186"/>
      <c r="N26" s="186"/>
      <c r="O26" s="186"/>
      <c r="P26" s="186"/>
      <c r="Q26" s="186"/>
    </row>
    <row r="27" spans="1:17" x14ac:dyDescent="0.25">
      <c r="A27" s="9"/>
      <c r="B27" s="1"/>
      <c r="C27" s="1"/>
      <c r="D27" s="3"/>
      <c r="E27" s="73"/>
      <c r="F27" s="73"/>
      <c r="G27" s="1"/>
      <c r="H27" s="3"/>
      <c r="I27" s="72"/>
      <c r="J27" s="66"/>
      <c r="K27" s="1"/>
      <c r="L27" s="1"/>
      <c r="M27" s="1"/>
      <c r="N27" s="1"/>
      <c r="O27" s="1"/>
      <c r="P27" s="1"/>
      <c r="Q27" s="1"/>
    </row>
    <row r="28" spans="1:17" ht="15.75" thickBot="1" x14ac:dyDescent="0.3">
      <c r="A28" s="9"/>
      <c r="B28" s="1"/>
      <c r="C28" s="1"/>
      <c r="D28" s="3"/>
      <c r="E28" s="73"/>
      <c r="F28" s="73"/>
      <c r="G28" s="1"/>
      <c r="H28" s="3"/>
      <c r="I28" s="72"/>
      <c r="J28" s="66"/>
      <c r="K28" s="1"/>
      <c r="L28" s="1"/>
      <c r="M28" s="1"/>
      <c r="N28" s="1"/>
      <c r="O28" s="1"/>
      <c r="P28" s="1"/>
      <c r="Q28" s="1"/>
    </row>
    <row r="29" spans="1:17" ht="15.75" thickBot="1" x14ac:dyDescent="0.3">
      <c r="A29" s="9"/>
      <c r="B29" s="1"/>
      <c r="C29" s="1"/>
      <c r="D29" s="70" t="s">
        <v>164</v>
      </c>
      <c r="E29" s="1"/>
      <c r="F29" s="1"/>
      <c r="G29" s="1"/>
      <c r="H29" s="101">
        <f>(H6*H13/100/12) *M18</f>
        <v>0</v>
      </c>
      <c r="I29" s="72"/>
      <c r="J29" s="66"/>
      <c r="K29" s="1"/>
      <c r="L29" s="1"/>
      <c r="M29" s="1"/>
      <c r="N29" s="1"/>
      <c r="O29" s="1"/>
      <c r="P29" s="1"/>
      <c r="Q29" s="1"/>
    </row>
    <row r="30" spans="1:17" ht="15.75" thickBot="1" x14ac:dyDescent="0.3">
      <c r="A30" s="9"/>
      <c r="B30" s="1"/>
      <c r="C30" s="1"/>
      <c r="D30" s="70"/>
      <c r="E30" s="1"/>
      <c r="F30" s="1"/>
      <c r="G30" s="1"/>
      <c r="H30" s="64"/>
      <c r="I30" s="72"/>
      <c r="J30" s="66"/>
      <c r="K30" s="1"/>
      <c r="L30" s="1"/>
      <c r="M30" s="1"/>
      <c r="N30" s="1"/>
      <c r="O30" s="1"/>
      <c r="P30" s="1"/>
      <c r="Q30" s="1"/>
    </row>
    <row r="31" spans="1:17" ht="15.75" thickBot="1" x14ac:dyDescent="0.3">
      <c r="A31" s="9"/>
      <c r="B31" s="1"/>
      <c r="C31" s="1"/>
      <c r="D31" s="70" t="s">
        <v>165</v>
      </c>
      <c r="E31" s="1"/>
      <c r="F31" s="1"/>
      <c r="G31" s="1"/>
      <c r="H31" s="101">
        <f>IF(((H20/M18)*12*100/H13)&gt;H6, H6,((H20/M18)*12*100/H13))</f>
        <v>0</v>
      </c>
      <c r="I31" s="72"/>
      <c r="J31" s="66"/>
      <c r="K31" s="1" t="s">
        <v>230</v>
      </c>
      <c r="L31" s="1"/>
      <c r="M31" s="1"/>
      <c r="N31" s="1"/>
      <c r="O31" s="1"/>
      <c r="P31" s="1"/>
      <c r="Q31" s="1"/>
    </row>
    <row r="32" spans="1:17" x14ac:dyDescent="0.25">
      <c r="A32" s="9"/>
      <c r="B32" s="1"/>
      <c r="C32" s="1"/>
      <c r="D32" s="3"/>
      <c r="E32" s="73"/>
      <c r="F32" s="73"/>
      <c r="G32" s="1"/>
      <c r="H32" s="3"/>
      <c r="I32" s="72"/>
      <c r="J32" s="66"/>
      <c r="K32" s="1"/>
      <c r="L32" s="1"/>
      <c r="M32" s="1"/>
      <c r="N32" s="1"/>
      <c r="O32" s="1"/>
      <c r="P32" s="1"/>
      <c r="Q32" s="1"/>
    </row>
    <row r="33" spans="1:17" x14ac:dyDescent="0.25">
      <c r="A33" s="9"/>
      <c r="B33" s="1"/>
      <c r="C33" s="1"/>
      <c r="D33" s="3"/>
      <c r="E33" s="73"/>
      <c r="F33" s="73"/>
      <c r="G33" s="1"/>
      <c r="H33" s="3"/>
      <c r="I33" s="72"/>
      <c r="J33" s="66"/>
      <c r="K33" s="1"/>
      <c r="L33" s="1"/>
      <c r="M33" s="1"/>
      <c r="N33" s="1"/>
      <c r="O33" s="1"/>
      <c r="P33" s="1"/>
      <c r="Q33" s="1"/>
    </row>
    <row r="34" spans="1:17" x14ac:dyDescent="0.25">
      <c r="A34" s="9"/>
      <c r="B34" s="1"/>
      <c r="C34" s="1"/>
      <c r="D34" s="3"/>
      <c r="E34" s="73"/>
      <c r="F34" s="73"/>
      <c r="G34" s="1"/>
      <c r="H34" s="63" t="s">
        <v>49</v>
      </c>
      <c r="I34" s="72"/>
      <c r="J34" s="66"/>
      <c r="K34" s="1"/>
      <c r="L34" s="1"/>
      <c r="M34" s="1"/>
      <c r="N34" s="1"/>
      <c r="O34" s="1"/>
      <c r="P34" s="1"/>
      <c r="Q34" s="1"/>
    </row>
    <row r="35" spans="1:17" ht="15.75" thickBot="1" x14ac:dyDescent="0.3">
      <c r="A35" s="9"/>
      <c r="B35" s="1"/>
      <c r="C35" s="1"/>
      <c r="D35" s="3"/>
      <c r="E35" s="73"/>
      <c r="F35" s="73"/>
      <c r="G35" s="1"/>
      <c r="H35" s="3"/>
      <c r="I35" s="72"/>
      <c r="J35" s="66"/>
      <c r="K35" s="1"/>
      <c r="L35" s="1"/>
      <c r="M35" s="1"/>
      <c r="N35" s="1"/>
      <c r="O35" s="1"/>
      <c r="P35" s="1"/>
      <c r="Q35" s="1"/>
    </row>
    <row r="36" spans="1:17" ht="15.75" thickBot="1" x14ac:dyDescent="0.3">
      <c r="A36" s="1"/>
      <c r="B36" s="1"/>
      <c r="C36" s="1"/>
      <c r="D36" s="72" t="s">
        <v>29</v>
      </c>
      <c r="E36" s="73"/>
      <c r="F36" s="73"/>
      <c r="G36" s="1"/>
      <c r="H36" s="104" t="e">
        <f>IF(AND(H26="Pass",H16="N"),"Use I.C.R",SUM(H22/((Income!F12+Income!H12+Income!J12+Income!L12)-Expenditure!M12)))</f>
        <v>#DIV/0!</v>
      </c>
      <c r="I36" s="3"/>
      <c r="J36" s="74"/>
      <c r="K36" s="67" t="s">
        <v>47</v>
      </c>
      <c r="L36" s="1"/>
      <c r="M36" s="1"/>
      <c r="N36" s="1"/>
      <c r="O36" s="1"/>
      <c r="P36" s="68"/>
      <c r="Q36" s="1"/>
    </row>
    <row r="37" spans="1:17" ht="15.75" thickBot="1" x14ac:dyDescent="0.3">
      <c r="A37" s="1"/>
      <c r="B37" s="1"/>
      <c r="C37" s="1"/>
      <c r="D37" s="3"/>
      <c r="E37" s="73"/>
      <c r="F37" s="73"/>
      <c r="G37" s="1"/>
      <c r="H37" s="3"/>
      <c r="I37" s="3"/>
      <c r="J37" s="66"/>
      <c r="K37" s="1"/>
      <c r="L37" s="1"/>
      <c r="M37" s="1"/>
      <c r="N37" s="1"/>
      <c r="O37" s="1"/>
      <c r="P37" s="69"/>
      <c r="Q37" s="1"/>
    </row>
    <row r="38" spans="1:17" ht="15.75" customHeight="1" thickBot="1" x14ac:dyDescent="0.3">
      <c r="A38" s="1"/>
      <c r="B38" s="1"/>
      <c r="C38" s="1"/>
      <c r="D38" s="72" t="s">
        <v>47</v>
      </c>
      <c r="E38" s="73"/>
      <c r="F38" s="73"/>
      <c r="G38" s="1"/>
      <c r="H38" s="103" t="e">
        <f>IF(AND(H26="Pass",H16="N"),"Use I.C.R",IF(H36&lt;=0%,"DECLINE",IF(H36&lt;=45.49999999%,"PASS",IF(H36&gt;55.49999999%,"DECLINE","REFER"))))</f>
        <v>#DIV/0!</v>
      </c>
      <c r="I38" s="3"/>
      <c r="J38" s="74"/>
      <c r="K38" s="161" t="s">
        <v>60</v>
      </c>
      <c r="L38" s="187" t="s">
        <v>61</v>
      </c>
      <c r="M38" s="187"/>
      <c r="N38" s="187"/>
      <c r="O38" s="187"/>
      <c r="P38" s="187"/>
      <c r="Q38" s="187"/>
    </row>
    <row r="39" spans="1:17" ht="15.75" customHeight="1" x14ac:dyDescent="0.25">
      <c r="A39" s="1"/>
      <c r="B39" s="1"/>
      <c r="C39" s="1"/>
      <c r="D39" s="72"/>
      <c r="E39" s="73"/>
      <c r="F39" s="73"/>
      <c r="G39" s="1"/>
      <c r="H39" s="62"/>
      <c r="I39" s="3"/>
      <c r="J39" s="74"/>
      <c r="K39" s="161" t="s">
        <v>62</v>
      </c>
      <c r="L39" s="187" t="s">
        <v>65</v>
      </c>
      <c r="M39" s="187"/>
      <c r="N39" s="187"/>
      <c r="O39" s="187"/>
      <c r="P39" s="187"/>
      <c r="Q39" s="187"/>
    </row>
    <row r="40" spans="1:17" ht="15.75" customHeight="1" x14ac:dyDescent="0.25">
      <c r="A40" s="1"/>
      <c r="B40" s="1"/>
      <c r="C40" s="1"/>
      <c r="D40" s="67" t="s">
        <v>66</v>
      </c>
      <c r="E40" s="1"/>
      <c r="F40" s="1"/>
      <c r="G40" s="1"/>
      <c r="H40" s="62"/>
      <c r="I40" s="3"/>
      <c r="J40" s="74"/>
      <c r="K40" s="161" t="s">
        <v>63</v>
      </c>
      <c r="L40" s="187" t="s">
        <v>64</v>
      </c>
      <c r="M40" s="187"/>
      <c r="N40" s="187"/>
      <c r="O40" s="187"/>
      <c r="P40" s="187"/>
      <c r="Q40" s="187"/>
    </row>
    <row r="41" spans="1:17" ht="15.75" thickBot="1" x14ac:dyDescent="0.3">
      <c r="A41" s="1"/>
      <c r="B41" s="1"/>
      <c r="C41" s="1"/>
      <c r="D41" s="76" t="s">
        <v>67</v>
      </c>
      <c r="E41" s="1"/>
      <c r="F41" s="1"/>
      <c r="G41" s="1"/>
      <c r="H41" s="3"/>
      <c r="I41" s="3"/>
      <c r="J41" s="74"/>
      <c r="K41" s="162"/>
      <c r="L41" s="1"/>
      <c r="M41" s="1"/>
      <c r="N41" s="1"/>
      <c r="O41" s="1"/>
      <c r="P41" s="1"/>
      <c r="Q41" s="1"/>
    </row>
    <row r="42" spans="1:17" ht="15.75" customHeight="1" thickBot="1" x14ac:dyDescent="0.3">
      <c r="A42" s="1"/>
      <c r="B42" s="1"/>
      <c r="C42" s="1"/>
      <c r="D42" s="65" t="s">
        <v>74</v>
      </c>
      <c r="E42" s="73"/>
      <c r="F42" s="73"/>
      <c r="G42" s="1"/>
      <c r="H42" s="105" t="e">
        <f>IF(AND(H26="Pass",H16="N"),"Use I.C.R",IF(Expenditure!M32&gt;Expenditure!F32,(Income!F12+Income!H12+Income!J12+Income!L12)-(Expenditure!M32+Results!H22),(Income!F12+Income!H12+Income!J12+Income!L12)-(Expenditure!F32+Results!H22)))</f>
        <v>#DIV/0!</v>
      </c>
      <c r="I42" s="3"/>
      <c r="J42" s="74"/>
      <c r="K42" s="191" t="s">
        <v>60</v>
      </c>
      <c r="L42" s="186" t="s">
        <v>68</v>
      </c>
      <c r="M42" s="186"/>
      <c r="N42" s="186"/>
      <c r="O42" s="186"/>
      <c r="P42" s="186"/>
      <c r="Q42" s="186"/>
    </row>
    <row r="43" spans="1:17" ht="24" customHeight="1" thickBot="1" x14ac:dyDescent="0.3">
      <c r="A43" s="1"/>
      <c r="B43" s="1"/>
      <c r="C43" s="1"/>
      <c r="D43" s="3"/>
      <c r="E43" s="73"/>
      <c r="F43" s="73"/>
      <c r="G43" s="1"/>
      <c r="H43" s="3"/>
      <c r="I43" s="3"/>
      <c r="J43" s="74"/>
      <c r="K43" s="191"/>
      <c r="L43" s="186"/>
      <c r="M43" s="186"/>
      <c r="N43" s="186"/>
      <c r="O43" s="186"/>
      <c r="P43" s="186"/>
      <c r="Q43" s="186"/>
    </row>
    <row r="44" spans="1:17" ht="15.75" customHeight="1" thickBot="1" x14ac:dyDescent="0.3">
      <c r="A44" s="1"/>
      <c r="B44" s="1"/>
      <c r="C44" s="1"/>
      <c r="D44" s="77" t="s">
        <v>48</v>
      </c>
      <c r="E44" s="73"/>
      <c r="F44" s="73"/>
      <c r="G44" s="1"/>
      <c r="H44" s="106" t="e">
        <f>IF(AND(H26="Pass",H16="N"),"Use I.C.R",IF(Calc!A1&lt;=0%,"DECLINE",IF(Calc!A1&gt;100%,"DECLINE","PASS")))</f>
        <v>#DIV/0!</v>
      </c>
      <c r="I44" s="3"/>
      <c r="J44" s="74"/>
      <c r="K44" s="162"/>
      <c r="L44" s="1"/>
      <c r="M44" s="1"/>
      <c r="N44" s="1"/>
      <c r="O44" s="1"/>
      <c r="P44" s="1"/>
      <c r="Q44" s="1"/>
    </row>
    <row r="45" spans="1:17" ht="22.5" customHeight="1" thickBot="1" x14ac:dyDescent="0.3">
      <c r="A45" s="1"/>
      <c r="B45" s="1"/>
      <c r="C45" s="1"/>
      <c r="D45" s="3"/>
      <c r="E45" s="73"/>
      <c r="F45" s="73"/>
      <c r="G45" s="1"/>
      <c r="H45" s="3"/>
      <c r="I45" s="3"/>
      <c r="J45" s="78"/>
      <c r="K45" s="191" t="s">
        <v>69</v>
      </c>
      <c r="L45" s="186" t="s">
        <v>70</v>
      </c>
      <c r="M45" s="186"/>
      <c r="N45" s="186"/>
      <c r="O45" s="186"/>
      <c r="P45" s="186"/>
      <c r="Q45" s="186"/>
    </row>
    <row r="46" spans="1:17" ht="15" customHeight="1" thickBot="1" x14ac:dyDescent="0.3">
      <c r="A46" s="1"/>
      <c r="B46" s="1"/>
      <c r="C46" s="1"/>
      <c r="D46" s="79" t="s">
        <v>30</v>
      </c>
      <c r="E46" s="80"/>
      <c r="F46" s="80"/>
      <c r="G46" s="80"/>
      <c r="H46" s="107" t="e">
        <f>IF(AND(H26="Pass",H16="N"),"Use I.C.R",(SUM(H6)/((Income!F10+Income!H10+Income!J10+Income!L10))))</f>
        <v>#DIV/0!</v>
      </c>
      <c r="I46" s="63" t="str">
        <f>IF(Income!H10&gt;0,"Joint","Sole")</f>
        <v>Sole</v>
      </c>
      <c r="J46" s="108" t="str">
        <f>IF(AND(H16="N",I46="Sole"),'Income Multiplier'!B2, IF(AND(H16="N",I46="Joint"),'Income Multiplier'!B3, IF(AND(H16="Y", H14="Y"),'Income Multiplier'!B3, IF(AND(H16="Y", H14="N"),'Income Multiplier'!B3,"REFER"))))</f>
        <v>REFER</v>
      </c>
      <c r="K46" s="191"/>
      <c r="L46" s="186"/>
      <c r="M46" s="186"/>
      <c r="N46" s="186"/>
      <c r="O46" s="186"/>
      <c r="P46" s="186"/>
      <c r="Q46" s="186"/>
    </row>
    <row r="47" spans="1:17" ht="15" customHeight="1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66"/>
      <c r="K47" s="1"/>
      <c r="L47" s="1"/>
      <c r="M47" s="1"/>
      <c r="N47" s="1"/>
      <c r="O47" s="1"/>
      <c r="P47" s="1"/>
      <c r="Q47" s="1"/>
    </row>
    <row r="48" spans="1:17" ht="15.75" thickBot="1" x14ac:dyDescent="0.3">
      <c r="A48" s="1"/>
      <c r="B48" s="1"/>
      <c r="C48" s="1"/>
      <c r="D48" s="65" t="s">
        <v>217</v>
      </c>
      <c r="E48" s="1"/>
      <c r="F48" s="1"/>
      <c r="G48" s="1"/>
      <c r="H48" s="103" t="e">
        <f>IF(AND(H26="Pass",H16="N"),"Use I.C.R",IF(AND(H46&lt;J46,H38="PASS"),"PASS",IF(AND(H46&lt;J46,H38="REFER"),"REFER",IF(AND(H46&lt;J46,H38="DECLINE"),"DECLINE",IF(AND(H46&gt;J46,H16="Y",H14="Y"),"DECLINE",IF(AND(H46&gt;J46,H16="Y",H14="N",H38="PASS"),"PASS",IF(AND(H46&gt;J46,H16="Y",H14="N",H38="REFER"),"REFER",IF(AND(H46&gt;J46,H16="Y",H14="N",H38="DECLINE"),"DECLINE",IF(AND(H46&gt;J46,H16="N"),"DECLINE","PASS")))))))))</f>
        <v>#DIV/0!</v>
      </c>
      <c r="I48" s="1"/>
      <c r="J48" s="66"/>
      <c r="K48" s="189" t="s">
        <v>217</v>
      </c>
      <c r="L48" s="189"/>
      <c r="M48" s="1"/>
      <c r="N48" s="1"/>
      <c r="O48" s="1"/>
      <c r="P48" s="1"/>
      <c r="Q48" s="1"/>
    </row>
    <row r="49" spans="1:17" ht="90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66"/>
      <c r="K49" s="160" t="s">
        <v>60</v>
      </c>
      <c r="L49" s="190" t="s">
        <v>231</v>
      </c>
      <c r="M49" s="190"/>
      <c r="N49" s="190"/>
      <c r="O49" s="190"/>
      <c r="P49" s="190"/>
      <c r="Q49" s="190"/>
    </row>
    <row r="50" spans="1:17" ht="46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66"/>
      <c r="K50" s="160" t="s">
        <v>62</v>
      </c>
      <c r="L50" s="190" t="s">
        <v>232</v>
      </c>
      <c r="M50" s="190"/>
      <c r="N50" s="190"/>
      <c r="O50" s="190"/>
      <c r="P50" s="190"/>
      <c r="Q50" s="190"/>
    </row>
    <row r="51" spans="1:17" ht="60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66"/>
      <c r="K51" s="160" t="s">
        <v>218</v>
      </c>
      <c r="L51" s="190" t="s">
        <v>233</v>
      </c>
      <c r="M51" s="190"/>
      <c r="N51" s="190"/>
      <c r="O51" s="190"/>
      <c r="P51" s="190"/>
      <c r="Q51" s="190"/>
    </row>
  </sheetData>
  <sheetProtection algorithmName="SHA-512" hashValue="UW1Cqvs7zhfc0znRlZyL8a/qbN664GwvVQH4lBw5Ng0pOdMjCDZqmVfgadzS5LJYGVVbDg4O0J/ckBprzu/lHA==" saltValue="D5EKDOUGIBJd9J0ts8HExA==" spinCount="100000" sheet="1" objects="1" scenarios="1" selectLockedCells="1"/>
  <protectedRanges>
    <protectedRange sqref="H6:H13" name="Range5"/>
    <protectedRange sqref="H17" name="Range6"/>
    <protectedRange sqref="H14:H15" name="Range5_1"/>
    <protectedRange sqref="J22" name="Range5_2"/>
    <protectedRange sqref="M18" name="Range5_2_1"/>
  </protectedRanges>
  <sortState ref="H26">
    <sortCondition descending="1" ref="H26"/>
  </sortState>
  <mergeCells count="18">
    <mergeCell ref="K48:L48"/>
    <mergeCell ref="L49:Q49"/>
    <mergeCell ref="L50:Q50"/>
    <mergeCell ref="L51:Q51"/>
    <mergeCell ref="L24:Q26"/>
    <mergeCell ref="K45:K46"/>
    <mergeCell ref="L45:Q46"/>
    <mergeCell ref="L39:Q39"/>
    <mergeCell ref="L40:Q40"/>
    <mergeCell ref="K42:K43"/>
    <mergeCell ref="L42:Q43"/>
    <mergeCell ref="B1:C1"/>
    <mergeCell ref="D3:H3"/>
    <mergeCell ref="K20:K22"/>
    <mergeCell ref="L20:Q22"/>
    <mergeCell ref="L38:Q38"/>
    <mergeCell ref="K24:K26"/>
    <mergeCell ref="A14:F14"/>
  </mergeCells>
  <conditionalFormatting sqref="H38:H40">
    <cfRule type="cellIs" dxfId="22" priority="10" stopIfTrue="1" operator="equal">
      <formula>"REFER"</formula>
    </cfRule>
    <cfRule type="containsText" dxfId="21" priority="18" stopIfTrue="1" operator="containsText" text="DECLINE">
      <formula>NOT(ISERROR(SEARCH("DECLINE",H38)))</formula>
    </cfRule>
    <cfRule type="containsText" dxfId="20" priority="20" stopIfTrue="1" operator="containsText" text="PASS">
      <formula>NOT(ISERROR(SEARCH("PASS",H38)))</formula>
    </cfRule>
  </conditionalFormatting>
  <conditionalFormatting sqref="H44">
    <cfRule type="cellIs" dxfId="19" priority="16" operator="equal">
      <formula>"DECLINE"</formula>
    </cfRule>
    <cfRule type="cellIs" dxfId="18" priority="17" operator="equal">
      <formula>"PASS"</formula>
    </cfRule>
  </conditionalFormatting>
  <conditionalFormatting sqref="H26">
    <cfRule type="cellIs" dxfId="17" priority="11" operator="equal">
      <formula>"USE INCOME"</formula>
    </cfRule>
    <cfRule type="containsText" dxfId="16" priority="13" stopIfTrue="1" operator="containsText" text="PASS">
      <formula>NOT(ISERROR(SEARCH("PASS",H26)))</formula>
    </cfRule>
  </conditionalFormatting>
  <conditionalFormatting sqref="H36:H46">
    <cfRule type="cellIs" dxfId="15" priority="21" stopIfTrue="1" operator="equal">
      <formula>"Use I.C.R"</formula>
    </cfRule>
  </conditionalFormatting>
  <conditionalFormatting sqref="H48">
    <cfRule type="cellIs" dxfId="14" priority="6" stopIfTrue="1" operator="equal">
      <formula>"REFER"</formula>
    </cfRule>
    <cfRule type="containsText" dxfId="13" priority="7" stopIfTrue="1" operator="containsText" text="DECLINE">
      <formula>NOT(ISERROR(SEARCH("DECLINE",H48)))</formula>
    </cfRule>
    <cfRule type="containsText" dxfId="12" priority="8" stopIfTrue="1" operator="containsText" text="PASS">
      <formula>NOT(ISERROR(SEARCH("PASS",H48)))</formula>
    </cfRule>
  </conditionalFormatting>
  <conditionalFormatting sqref="H48">
    <cfRule type="cellIs" dxfId="11" priority="9" stopIfTrue="1" operator="equal">
      <formula>"Use I.C.R"</formula>
    </cfRule>
  </conditionalFormatting>
  <conditionalFormatting sqref="H6">
    <cfRule type="cellIs" dxfId="10" priority="5" operator="lessThanOrEqual">
      <formula>0</formula>
    </cfRule>
  </conditionalFormatting>
  <conditionalFormatting sqref="H8">
    <cfRule type="cellIs" dxfId="9" priority="4" operator="lessThanOrEqual">
      <formula>0</formula>
    </cfRule>
  </conditionalFormatting>
  <conditionalFormatting sqref="H14">
    <cfRule type="containsBlanks" dxfId="8" priority="3">
      <formula>LEN(TRIM(H14))=0</formula>
    </cfRule>
  </conditionalFormatting>
  <conditionalFormatting sqref="H15">
    <cfRule type="containsBlanks" dxfId="7" priority="2">
      <formula>LEN(TRIM(H15))=0</formula>
    </cfRule>
  </conditionalFormatting>
  <conditionalFormatting sqref="H16">
    <cfRule type="containsBlanks" dxfId="6" priority="1">
      <formula>LEN(TRIM(H16))=0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landscape" r:id="rId1"/>
  <ignoredErrors>
    <ignoredError sqref="I4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4" name="Button 12">
              <controlPr defaultSize="0" print="0" autoFill="0" autoPict="0" macro="[0]!RefreshData">
                <anchor moveWithCells="1" sizeWithCells="1">
                  <from>
                    <xdr:col>8</xdr:col>
                    <xdr:colOff>590550</xdr:colOff>
                    <xdr:row>0</xdr:row>
                    <xdr:rowOff>190500</xdr:rowOff>
                  </from>
                  <to>
                    <xdr:col>12</xdr:col>
                    <xdr:colOff>28575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'BTL Product Data'!$A$2:$A$14</xm:f>
          </x14:formula1>
          <xm:sqref>D3:H3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F3"/>
  <sheetViews>
    <sheetView workbookViewId="0">
      <selection activeCell="F3" sqref="F3"/>
    </sheetView>
  </sheetViews>
  <sheetFormatPr defaultRowHeight="15" x14ac:dyDescent="0.25"/>
  <cols>
    <col min="6" max="6" width="11.5703125" bestFit="1" customWidth="1"/>
  </cols>
  <sheetData>
    <row r="1" spans="1:6" ht="15.75" thickBot="1" x14ac:dyDescent="0.3">
      <c r="A1" s="35" t="e">
        <f>SUM(Results!H22/Calc!F3)</f>
        <v>#DIV/0!</v>
      </c>
    </row>
    <row r="2" spans="1:6" ht="15.75" thickBot="1" x14ac:dyDescent="0.3">
      <c r="A2" s="5" t="s">
        <v>21</v>
      </c>
      <c r="B2" s="2"/>
      <c r="C2" s="2"/>
      <c r="D2" s="2"/>
      <c r="E2" s="2"/>
      <c r="F2" s="6" t="e">
        <f>IF(Expenditure!F32&gt;=Expenditure!M32,Expenditure!F32,Expenditure!M32)</f>
        <v>#DIV/0!</v>
      </c>
    </row>
    <row r="3" spans="1:6" ht="16.5" thickBot="1" x14ac:dyDescent="0.3">
      <c r="A3" s="5" t="s">
        <v>22</v>
      </c>
      <c r="B3" s="2"/>
      <c r="C3" s="2"/>
      <c r="D3" s="2"/>
      <c r="E3" s="2"/>
      <c r="F3" s="7" t="e">
        <f>SUM(Income!F12+Income!H12+Income!J12+Income!L12)-Calc!F2</f>
        <v>#DIV/0!</v>
      </c>
    </row>
  </sheetData>
  <sheetProtection algorithmName="SHA-512" hashValue="ITSaVSYNgKZqsQ4EpzQtOg9A+UXVGhGGJtyTcppO7WF9xrPMK6XEZUkQQ5OrcuSKQNXQ+TG4CLw6Nf4ofE5tUg==" saltValue="o9J8R5q7mRn3CKhzAmEnVw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8E0A-DB23-48DA-8A06-7FF1A6D2A550}">
  <sheetPr codeName="Sheet7"/>
  <dimension ref="A1:B9"/>
  <sheetViews>
    <sheetView workbookViewId="0">
      <selection activeCell="B6" sqref="B6"/>
    </sheetView>
  </sheetViews>
  <sheetFormatPr defaultRowHeight="15" x14ac:dyDescent="0.25"/>
  <sheetData>
    <row r="1" spans="1:2" x14ac:dyDescent="0.25">
      <c r="A1" t="s">
        <v>14</v>
      </c>
      <c r="B1" t="s">
        <v>14</v>
      </c>
    </row>
    <row r="2" spans="1:2" x14ac:dyDescent="0.25">
      <c r="A2" t="s">
        <v>15</v>
      </c>
      <c r="B2" t="s">
        <v>15</v>
      </c>
    </row>
    <row r="3" spans="1:2" x14ac:dyDescent="0.25">
      <c r="B3" t="s">
        <v>16</v>
      </c>
    </row>
    <row r="4" spans="1:2" x14ac:dyDescent="0.25">
      <c r="B4" t="s">
        <v>17</v>
      </c>
    </row>
    <row r="5" spans="1:2" x14ac:dyDescent="0.25">
      <c r="B5" t="s">
        <v>18</v>
      </c>
    </row>
    <row r="6" spans="1:2" x14ac:dyDescent="0.25">
      <c r="B6" t="s">
        <v>19</v>
      </c>
    </row>
    <row r="7" spans="1:2" x14ac:dyDescent="0.25">
      <c r="B7" t="s">
        <v>20</v>
      </c>
    </row>
    <row r="8" spans="1:2" x14ac:dyDescent="0.25">
      <c r="B8" t="s">
        <v>179</v>
      </c>
    </row>
    <row r="9" spans="1:2" x14ac:dyDescent="0.25">
      <c r="B9" t="s">
        <v>180</v>
      </c>
    </row>
  </sheetData>
  <sheetProtection algorithmName="SHA-512" hashValue="j1HyKuCTyfnMsRlxxxQVqlGYokC1qjB0fenCvUE3pwCNdVnG3YhMQItmSOq9OLDfjrh/xaZ+xNyE61MaiTZrxg==" saltValue="LOsZuKy5lLal2pzpeNJ5x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37"/>
  <sheetViews>
    <sheetView workbookViewId="0">
      <selection activeCell="G31" sqref="G31"/>
    </sheetView>
  </sheetViews>
  <sheetFormatPr defaultRowHeight="15" x14ac:dyDescent="0.25"/>
  <cols>
    <col min="1" max="1" width="25.7109375" bestFit="1" customWidth="1"/>
    <col min="2" max="2" width="14" bestFit="1" customWidth="1"/>
    <col min="3" max="3" width="11.140625" bestFit="1" customWidth="1"/>
    <col min="5" max="5" width="13" customWidth="1"/>
    <col min="7" max="7" width="10.85546875" bestFit="1" customWidth="1"/>
    <col min="9" max="9" width="10.85546875" bestFit="1" customWidth="1"/>
  </cols>
  <sheetData>
    <row r="1" spans="1:9" x14ac:dyDescent="0.25">
      <c r="A1" s="81"/>
      <c r="B1" s="82" t="s">
        <v>0</v>
      </c>
      <c r="C1" s="81"/>
      <c r="D1" s="81"/>
      <c r="E1" s="82" t="s">
        <v>1</v>
      </c>
      <c r="G1" s="82" t="s">
        <v>0</v>
      </c>
      <c r="I1" s="82" t="s">
        <v>0</v>
      </c>
    </row>
    <row r="2" spans="1:9" ht="15.75" x14ac:dyDescent="0.25">
      <c r="A2" s="164" t="s">
        <v>223</v>
      </c>
      <c r="B2" s="166">
        <f>SUM(Income!F10)</f>
        <v>0</v>
      </c>
      <c r="C2" s="81"/>
      <c r="D2" s="81"/>
      <c r="E2" s="84">
        <f>SUM(Income!H10)</f>
        <v>0</v>
      </c>
      <c r="G2" s="166">
        <f>SUM(Income!J10)</f>
        <v>0</v>
      </c>
      <c r="I2" s="166">
        <f>SUM(Income!L10)</f>
        <v>0</v>
      </c>
    </row>
    <row r="3" spans="1:9" ht="15.75" x14ac:dyDescent="0.25">
      <c r="A3" s="83" t="s">
        <v>51</v>
      </c>
      <c r="B3" s="165">
        <f>SUM(Income!F6)</f>
        <v>0</v>
      </c>
      <c r="C3" s="84"/>
      <c r="D3" s="84"/>
      <c r="E3" s="84">
        <f>SUM(Income!H6)</f>
        <v>0</v>
      </c>
      <c r="G3" s="165">
        <f>SUM(Income!J6)</f>
        <v>0</v>
      </c>
      <c r="I3" s="165">
        <f>SUM(Income!L6)</f>
        <v>0</v>
      </c>
    </row>
    <row r="4" spans="1:9" x14ac:dyDescent="0.25">
      <c r="A4" s="81"/>
      <c r="B4" s="84"/>
      <c r="C4" s="84"/>
      <c r="D4" s="84"/>
      <c r="E4" s="84"/>
      <c r="G4" s="84"/>
      <c r="I4" s="84"/>
    </row>
    <row r="5" spans="1:9" x14ac:dyDescent="0.25">
      <c r="A5" s="81" t="s">
        <v>2</v>
      </c>
      <c r="B5">
        <f>IF(B$3&lt;=0,0,IF(B$3&lt;=$B$32,$B$29,($B$29-((B$3-$B$32)/2))))</f>
        <v>0</v>
      </c>
      <c r="E5">
        <f>IF(E$3&lt;=0,0,IF(E$3&lt;=$B$32,$B$29,($B$29-((E$3-$B$32)/2))))</f>
        <v>0</v>
      </c>
      <c r="G5">
        <f>IF(G$3&lt;=0,0,IF(G$3&lt;=$B$32,$B$29,($B$29-((G$3-$B$32)/2))))</f>
        <v>0</v>
      </c>
      <c r="I5">
        <f>IF(I$3&lt;=0,0,IF(I$3&lt;=$B$32,$B$29,($B$29-((I$3-$B$32)/2))))</f>
        <v>0</v>
      </c>
    </row>
    <row r="6" spans="1:9" x14ac:dyDescent="0.25">
      <c r="A6" s="85" t="s">
        <v>114</v>
      </c>
      <c r="B6" s="86">
        <f>IF(B5&lt;0,0,B5)</f>
        <v>0</v>
      </c>
      <c r="C6" s="86"/>
      <c r="D6" s="86"/>
      <c r="E6" s="86">
        <f>IF(E5&lt;0,0,E5)</f>
        <v>0</v>
      </c>
      <c r="G6" s="86">
        <f>IF(G5&lt;0,0,G5)</f>
        <v>0</v>
      </c>
      <c r="I6" s="86">
        <f>IF(I5&lt;0,0,I5)</f>
        <v>0</v>
      </c>
    </row>
    <row r="7" spans="1:9" x14ac:dyDescent="0.25">
      <c r="A7" s="81" t="s">
        <v>51</v>
      </c>
      <c r="B7" s="84">
        <f>IF(B3&lt;=B6,0,SUM(B3-B6))</f>
        <v>0</v>
      </c>
      <c r="C7" s="84"/>
      <c r="D7" s="84"/>
      <c r="E7" s="84">
        <f>IF(E3&lt;=E6,0,SUM(E3-E6))</f>
        <v>0</v>
      </c>
      <c r="G7" s="84">
        <f>IF(G3&lt;=G6,0,SUM(G3-G6))</f>
        <v>0</v>
      </c>
      <c r="I7" s="84">
        <f>IF(I3&lt;=I6,0,SUM(I3-I6))</f>
        <v>0</v>
      </c>
    </row>
    <row r="8" spans="1:9" x14ac:dyDescent="0.25">
      <c r="A8" s="81" t="str">
        <f>"NIC Income &lt;= " &amp; VALUE($B$36)</f>
        <v>NIC Income &lt;= 50270</v>
      </c>
      <c r="B8" s="84">
        <f>IF(B$3&lt;=0,0,IF(B3&lt;=$B$36,(B3-$B$35)*$D$36,0))</f>
        <v>0</v>
      </c>
      <c r="C8" s="81"/>
      <c r="D8" s="81"/>
      <c r="E8" s="84">
        <f>IF(E$3&lt;=0,0,IF(E3&lt;=$B$36,(E3-$B$35)*$D$36,0))</f>
        <v>0</v>
      </c>
      <c r="G8" s="84">
        <f>IF(G$3&lt;=0,0,IF(G3&lt;=$B$36,(G3-$B$35)*$D$36,0))</f>
        <v>0</v>
      </c>
      <c r="I8" s="84">
        <f>IF(I$3&lt;=0,0,IF(I3&lt;=$B$36,(I3-$B$35)*$D$36,0))</f>
        <v>0</v>
      </c>
    </row>
    <row r="9" spans="1:9" x14ac:dyDescent="0.25">
      <c r="A9" s="85" t="s">
        <v>114</v>
      </c>
      <c r="B9" s="86">
        <f>IF(B8&lt;0,0,B8)</f>
        <v>0</v>
      </c>
      <c r="C9" s="87"/>
      <c r="D9" s="87"/>
      <c r="E9" s="86">
        <f>IF(E8&lt;0,0,E8)</f>
        <v>0</v>
      </c>
      <c r="G9" s="86">
        <f>IF(G8&lt;0,0,G8)</f>
        <v>0</v>
      </c>
      <c r="I9" s="86">
        <f>IF(I8&lt;0,0,I8)</f>
        <v>0</v>
      </c>
    </row>
    <row r="10" spans="1:9" x14ac:dyDescent="0.25">
      <c r="A10" s="81" t="str">
        <f>"NIC Income &gt; " &amp; VALUE($B$36)</f>
        <v>NIC Income &gt; 50270</v>
      </c>
      <c r="B10" s="84">
        <f>IF(B3&gt;$B$36,($C$36*$D$36)+((B3-$B$36)*$D$37),0)</f>
        <v>0</v>
      </c>
      <c r="C10" s="81"/>
      <c r="D10" s="81"/>
      <c r="E10" s="84">
        <f>IF(E3&gt;$B$36,($C$36*$D$36)+((E3-$B$36)*$D$37),0)</f>
        <v>0</v>
      </c>
      <c r="G10" s="84">
        <f>IF(G3&gt;$B$36,($C$36*$D$36)+((G3-$B$36)*$D$37),0)</f>
        <v>0</v>
      </c>
      <c r="I10" s="84">
        <f>IF(I3&gt;$B$36,($C$36*$D$36)+((I3-$B$36)*$D$37),0)</f>
        <v>0</v>
      </c>
    </row>
    <row r="11" spans="1:9" x14ac:dyDescent="0.25">
      <c r="A11" s="81"/>
      <c r="B11" s="81"/>
      <c r="C11" s="81"/>
      <c r="D11" s="81"/>
      <c r="E11" s="81"/>
      <c r="G11" s="81"/>
      <c r="I11" s="81"/>
    </row>
    <row r="12" spans="1:9" x14ac:dyDescent="0.25">
      <c r="A12" s="81" t="s">
        <v>53</v>
      </c>
      <c r="B12" s="84">
        <f>MIN($C$29,B7)</f>
        <v>0</v>
      </c>
      <c r="C12" s="81"/>
      <c r="D12" s="81"/>
      <c r="E12" s="84">
        <f>MIN($C$29,E7)</f>
        <v>0</v>
      </c>
      <c r="G12" s="84">
        <f>MIN($C$29,G7)</f>
        <v>0</v>
      </c>
      <c r="I12" s="84">
        <f>MIN($C$29,I7)</f>
        <v>0</v>
      </c>
    </row>
    <row r="13" spans="1:9" x14ac:dyDescent="0.25">
      <c r="A13" s="81" t="s">
        <v>52</v>
      </c>
      <c r="B13" s="88">
        <f>SUM(B12*$D$29)</f>
        <v>0</v>
      </c>
      <c r="C13" s="81"/>
      <c r="D13" s="81"/>
      <c r="E13" s="88">
        <f>SUM(E12*$D$29)</f>
        <v>0</v>
      </c>
      <c r="G13" s="88">
        <f>SUM(G12*$D$29)</f>
        <v>0</v>
      </c>
      <c r="I13" s="88">
        <f>SUM(I12*$D$29)</f>
        <v>0</v>
      </c>
    </row>
    <row r="14" spans="1:9" x14ac:dyDescent="0.25">
      <c r="A14" s="81" t="s">
        <v>56</v>
      </c>
      <c r="B14" s="84">
        <f>MIN($C$30,B7)-B12</f>
        <v>0</v>
      </c>
      <c r="C14" s="81"/>
      <c r="D14" s="81"/>
      <c r="E14" s="84">
        <f>MIN($C$30,E7)-E12</f>
        <v>0</v>
      </c>
      <c r="G14" s="84">
        <f>MIN($C$30,G7)-G12</f>
        <v>0</v>
      </c>
      <c r="I14" s="84">
        <f>MIN($C$30,I7)-I12</f>
        <v>0</v>
      </c>
    </row>
    <row r="15" spans="1:9" x14ac:dyDescent="0.25">
      <c r="A15" s="81" t="s">
        <v>54</v>
      </c>
      <c r="B15" s="88">
        <f>SUM(B14*$D$30)</f>
        <v>0</v>
      </c>
      <c r="C15" s="81"/>
      <c r="D15" s="81"/>
      <c r="E15" s="88">
        <f>SUM(E14*$D$30)</f>
        <v>0</v>
      </c>
      <c r="G15" s="88">
        <f>SUM(G14*$D$30)</f>
        <v>0</v>
      </c>
      <c r="I15" s="88">
        <f>SUM(I14*$D$30)</f>
        <v>0</v>
      </c>
    </row>
    <row r="16" spans="1:9" x14ac:dyDescent="0.25">
      <c r="A16" s="81" t="s">
        <v>57</v>
      </c>
      <c r="B16" s="84">
        <f>MIN($B37,B7)-B12-B14</f>
        <v>0</v>
      </c>
      <c r="C16" s="81"/>
      <c r="D16" s="81"/>
      <c r="E16" s="84">
        <f>MIN($B37,E7)-E12-E14</f>
        <v>0</v>
      </c>
      <c r="G16" s="84">
        <f>MIN($B37,G7)-G12-G14</f>
        <v>0</v>
      </c>
      <c r="I16" s="84">
        <f>MIN($B37,I7)-I12-I14</f>
        <v>0</v>
      </c>
    </row>
    <row r="17" spans="1:9" x14ac:dyDescent="0.25">
      <c r="A17" s="89" t="s">
        <v>55</v>
      </c>
      <c r="B17" s="88">
        <f>SUM(B16*$D$31)</f>
        <v>0</v>
      </c>
      <c r="C17" s="81"/>
      <c r="D17" s="81"/>
      <c r="E17" s="88">
        <f>SUM(E16*$D$31)</f>
        <v>0</v>
      </c>
      <c r="G17" s="88">
        <f>SUM(G16*$D$31)</f>
        <v>0</v>
      </c>
      <c r="I17" s="88">
        <f>SUM(I16*$D$31)</f>
        <v>0</v>
      </c>
    </row>
    <row r="18" spans="1:9" x14ac:dyDescent="0.25">
      <c r="A18" s="89"/>
      <c r="B18" s="84"/>
      <c r="C18" s="81"/>
      <c r="D18" s="81"/>
      <c r="E18" s="84"/>
      <c r="G18" s="84"/>
      <c r="I18" s="84"/>
    </row>
    <row r="19" spans="1:9" x14ac:dyDescent="0.25">
      <c r="A19" s="81" t="s">
        <v>58</v>
      </c>
      <c r="B19" s="84">
        <f>SUM(B13+B15+B17)</f>
        <v>0</v>
      </c>
      <c r="C19" s="81"/>
      <c r="D19" s="81"/>
      <c r="E19" s="84">
        <f>SUM(E13+E15+E17)</f>
        <v>0</v>
      </c>
      <c r="G19" s="84">
        <f>SUM(G13+G15+G17)</f>
        <v>0</v>
      </c>
      <c r="I19" s="84">
        <f>SUM(I13+I15+I17)</f>
        <v>0</v>
      </c>
    </row>
    <row r="20" spans="1:9" x14ac:dyDescent="0.25">
      <c r="A20" s="89" t="s">
        <v>59</v>
      </c>
      <c r="B20" s="84">
        <f>IF(B3&gt;$B36,B10,B9)</f>
        <v>0</v>
      </c>
      <c r="C20" s="81"/>
      <c r="D20" s="81"/>
      <c r="E20" s="84">
        <f>IF(E3&gt;B36,E10,E9)</f>
        <v>0</v>
      </c>
      <c r="G20" s="84">
        <f>IF(G3&gt;$B36,G10,G9)</f>
        <v>0</v>
      </c>
      <c r="I20" s="84">
        <f>IF(I3&gt;$B36,I10,I9)</f>
        <v>0</v>
      </c>
    </row>
    <row r="21" spans="1:9" x14ac:dyDescent="0.25">
      <c r="A21" s="81"/>
      <c r="B21" s="84"/>
      <c r="C21" s="81"/>
      <c r="D21" s="81"/>
      <c r="E21" s="84"/>
      <c r="G21" s="84"/>
      <c r="I21" s="84"/>
    </row>
    <row r="22" spans="1:9" x14ac:dyDescent="0.25">
      <c r="A22" s="90" t="s">
        <v>3</v>
      </c>
      <c r="B22" s="91">
        <f>SUM(B19:B20)</f>
        <v>0</v>
      </c>
      <c r="C22" s="81"/>
      <c r="D22" s="81"/>
      <c r="E22" s="91">
        <f>SUM(E19:E20)</f>
        <v>0</v>
      </c>
      <c r="G22" s="91">
        <f>SUM(G19:G20)</f>
        <v>0</v>
      </c>
      <c r="I22" s="91">
        <f>SUM(I19:I20)</f>
        <v>0</v>
      </c>
    </row>
    <row r="23" spans="1:9" x14ac:dyDescent="0.25">
      <c r="A23" s="81"/>
      <c r="B23" s="81"/>
      <c r="C23" s="81"/>
      <c r="D23" s="81"/>
      <c r="E23" s="81"/>
      <c r="G23" s="81"/>
      <c r="I23" s="81"/>
    </row>
    <row r="24" spans="1:9" x14ac:dyDescent="0.25">
      <c r="A24" s="92" t="s">
        <v>4</v>
      </c>
      <c r="B24" s="91">
        <f>IF(B2&gt;0,(B2-B22)/12,0)</f>
        <v>0</v>
      </c>
      <c r="C24" s="81"/>
      <c r="D24" s="81"/>
      <c r="E24" s="91">
        <f>IF(E2&gt;0,(E2-E22)/12,0)</f>
        <v>0</v>
      </c>
      <c r="G24" s="91">
        <f>IF(G2&gt;0,(G2-G22)/12,0)</f>
        <v>0</v>
      </c>
      <c r="I24" s="91">
        <f>IF(I2&gt;0,(I2-I22)/12,0)</f>
        <v>0</v>
      </c>
    </row>
    <row r="27" spans="1:9" x14ac:dyDescent="0.25">
      <c r="A27" s="110" t="s">
        <v>171</v>
      </c>
    </row>
    <row r="28" spans="1:9" x14ac:dyDescent="0.25">
      <c r="A28" t="s">
        <v>172</v>
      </c>
      <c r="B28" s="111">
        <v>0</v>
      </c>
      <c r="C28" s="111">
        <f>B29-B28</f>
        <v>12570</v>
      </c>
      <c r="D28" s="112">
        <v>0</v>
      </c>
    </row>
    <row r="29" spans="1:9" x14ac:dyDescent="0.25">
      <c r="A29" t="s">
        <v>173</v>
      </c>
      <c r="B29" s="111">
        <v>12570</v>
      </c>
      <c r="C29" s="111">
        <f>B30-B29</f>
        <v>37700</v>
      </c>
      <c r="D29" s="112">
        <v>0.2</v>
      </c>
    </row>
    <row r="30" spans="1:9" x14ac:dyDescent="0.25">
      <c r="A30" t="s">
        <v>174</v>
      </c>
      <c r="B30" s="111">
        <v>50270</v>
      </c>
      <c r="C30" s="111">
        <f>B31</f>
        <v>150000</v>
      </c>
      <c r="D30" s="112">
        <v>0.4</v>
      </c>
    </row>
    <row r="31" spans="1:9" x14ac:dyDescent="0.25">
      <c r="A31" t="s">
        <v>175</v>
      </c>
      <c r="B31" s="111">
        <v>150000</v>
      </c>
      <c r="C31" s="111"/>
      <c r="D31" s="112">
        <v>0.45</v>
      </c>
    </row>
    <row r="32" spans="1:9" x14ac:dyDescent="0.25">
      <c r="A32" t="s">
        <v>176</v>
      </c>
      <c r="B32" s="111">
        <v>100000</v>
      </c>
      <c r="C32" s="111"/>
      <c r="D32" s="113">
        <v>2</v>
      </c>
    </row>
    <row r="34" spans="1:4" x14ac:dyDescent="0.25">
      <c r="A34" s="110" t="s">
        <v>177</v>
      </c>
    </row>
    <row r="35" spans="1:4" x14ac:dyDescent="0.25">
      <c r="A35" t="s">
        <v>178</v>
      </c>
      <c r="B35" s="111">
        <v>9568</v>
      </c>
      <c r="C35" s="111">
        <f>B35</f>
        <v>9568</v>
      </c>
      <c r="D35" s="112">
        <v>0</v>
      </c>
    </row>
    <row r="36" spans="1:4" x14ac:dyDescent="0.25">
      <c r="A36" t="s">
        <v>173</v>
      </c>
      <c r="B36" s="111">
        <v>50270</v>
      </c>
      <c r="C36" s="111">
        <f>B36-B35</f>
        <v>40702</v>
      </c>
      <c r="D36" s="112">
        <v>0.12</v>
      </c>
    </row>
    <row r="37" spans="1:4" x14ac:dyDescent="0.25">
      <c r="A37" t="s">
        <v>174</v>
      </c>
      <c r="B37" s="111">
        <v>50000000</v>
      </c>
      <c r="D37" s="112">
        <v>0.02</v>
      </c>
    </row>
  </sheetData>
  <sheetProtection algorithmName="SHA-512" hashValue="BiSRDTQ8A6R8ebRrgkksx4fApdINLBdJGOo8aoD6OYonZVT+Vv7F5q+dPT7xCjgvMsvnjFLNgcspdJS0e6I50A==" saltValue="WO0IIDMjuY0KyYZXnHEsqg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P22"/>
  <sheetViews>
    <sheetView workbookViewId="0">
      <selection activeCell="F31" sqref="F31"/>
    </sheetView>
  </sheetViews>
  <sheetFormatPr defaultRowHeight="15" x14ac:dyDescent="0.25"/>
  <sheetData>
    <row r="1" spans="1:16" ht="18.75" x14ac:dyDescent="0.3">
      <c r="A1" s="39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40" t="s">
        <v>80</v>
      </c>
      <c r="B3" s="1" t="s">
        <v>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40" t="s">
        <v>81</v>
      </c>
      <c r="B4" s="1" t="s">
        <v>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40" t="s">
        <v>83</v>
      </c>
      <c r="B5" s="1" t="s">
        <v>87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40" t="s">
        <v>84</v>
      </c>
      <c r="B6" s="1" t="s">
        <v>85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thickBot="1" x14ac:dyDescent="0.3">
      <c r="A7" s="40" t="s">
        <v>86</v>
      </c>
      <c r="B7" s="1" t="s">
        <v>88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 thickBot="1" x14ac:dyDescent="0.3">
      <c r="A8" s="40" t="s">
        <v>89</v>
      </c>
      <c r="B8" s="1" t="s">
        <v>90</v>
      </c>
      <c r="C8" s="1"/>
      <c r="D8" s="1"/>
      <c r="E8" s="1"/>
      <c r="F8" s="1"/>
      <c r="G8" s="45">
        <v>0</v>
      </c>
      <c r="H8" s="1"/>
      <c r="I8" s="1"/>
      <c r="J8" s="1"/>
      <c r="K8" s="1"/>
      <c r="L8" s="1"/>
      <c r="M8" s="1"/>
      <c r="N8" s="1"/>
      <c r="O8" s="1"/>
      <c r="P8" s="1"/>
    </row>
    <row r="9" spans="1:16" ht="15.75" thickBot="1" x14ac:dyDescent="0.3">
      <c r="A9" s="40" t="s">
        <v>91</v>
      </c>
      <c r="B9" s="1" t="s">
        <v>92</v>
      </c>
      <c r="C9" s="1"/>
      <c r="D9" s="1"/>
      <c r="E9" s="1"/>
      <c r="F9" s="1"/>
      <c r="G9" s="46">
        <v>0</v>
      </c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40" t="s">
        <v>93</v>
      </c>
      <c r="B10" s="1" t="s">
        <v>94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thickBot="1" x14ac:dyDescent="0.3">
      <c r="A11" s="40" t="s">
        <v>95</v>
      </c>
      <c r="B11" s="1" t="s">
        <v>96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thickBot="1" x14ac:dyDescent="0.3">
      <c r="A12" s="40" t="s">
        <v>97</v>
      </c>
      <c r="B12" s="1" t="s">
        <v>90</v>
      </c>
      <c r="C12" s="1"/>
      <c r="D12" s="1"/>
      <c r="E12" s="1"/>
      <c r="F12" s="1"/>
      <c r="G12" s="47">
        <v>0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 x14ac:dyDescent="0.3">
      <c r="A13" s="40" t="s">
        <v>98</v>
      </c>
      <c r="B13" s="1" t="s">
        <v>99</v>
      </c>
      <c r="C13" s="1"/>
      <c r="D13" s="1"/>
      <c r="E13" s="1"/>
      <c r="F13" s="1"/>
      <c r="G13" s="43"/>
      <c r="H13" s="1"/>
      <c r="I13" s="1"/>
      <c r="J13" s="1"/>
      <c r="K13" s="1"/>
      <c r="L13" s="1"/>
      <c r="M13" s="42">
        <f>SUM(G9-G12)</f>
        <v>0</v>
      </c>
      <c r="N13" s="1"/>
      <c r="O13" s="1"/>
      <c r="P13" s="1"/>
    </row>
    <row r="14" spans="1:16" ht="15.75" thickBot="1" x14ac:dyDescent="0.3">
      <c r="A14" s="40" t="s">
        <v>100</v>
      </c>
      <c r="B14" s="1" t="s">
        <v>111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thickBot="1" x14ac:dyDescent="0.3">
      <c r="A15" s="40" t="s">
        <v>101</v>
      </c>
      <c r="B15" s="1" t="s">
        <v>102</v>
      </c>
      <c r="C15" s="1"/>
      <c r="D15" s="1"/>
      <c r="E15" s="1"/>
      <c r="F15" s="1"/>
      <c r="G15" s="41">
        <f>SUM(G12+G8)</f>
        <v>0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5.75" thickBot="1" x14ac:dyDescent="0.3">
      <c r="A16" s="40" t="s">
        <v>103</v>
      </c>
      <c r="B16" s="1" t="s">
        <v>104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44" t="e">
        <f>SUM(G15/((Income!#REF!+Income!#REF!)-Expenditure!M11))</f>
        <v>#REF!</v>
      </c>
      <c r="N16" s="1"/>
      <c r="O16" s="1"/>
      <c r="P16" s="1"/>
    </row>
    <row r="17" spans="1:16" x14ac:dyDescent="0.25">
      <c r="A17" s="40" t="s">
        <v>105</v>
      </c>
      <c r="B17" s="1" t="s">
        <v>106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 t="s">
        <v>107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 t="s">
        <v>108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40" t="s">
        <v>109</v>
      </c>
      <c r="B20" s="1" t="s">
        <v>110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heetProtection algorithmName="SHA-512" hashValue="VSk9gl6D/7M6hja7nkxmKVbpo5J+kLD0zviKqoVvwi4+O0s9Ng9TFHMXu1x8eEkvUm8LcjVjSnAr1L0qxMs77w==" saltValue="lDFwlgqNOU1hPAjHaCJcxg==" spinCount="100000" sheet="1" objects="1" scenarios="1"/>
  <conditionalFormatting sqref="M13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6">
    <cfRule type="cellIs" dxfId="3" priority="1" operator="between">
      <formula>46</formula>
      <formula>55</formula>
    </cfRule>
    <cfRule type="cellIs" dxfId="2" priority="2" operator="greaterThanOrEqual">
      <formula>56%</formula>
    </cfRule>
    <cfRule type="cellIs" dxfId="1" priority="3" operator="between">
      <formula>46%</formula>
      <formula>55.99%</formula>
    </cfRule>
    <cfRule type="cellIs" dxfId="0" priority="4" operator="lessThanOrEqual">
      <formula>45.99%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M60"/>
  <sheetViews>
    <sheetView workbookViewId="0">
      <selection activeCell="D33" sqref="D33"/>
    </sheetView>
  </sheetViews>
  <sheetFormatPr defaultRowHeight="15" x14ac:dyDescent="0.25"/>
  <cols>
    <col min="2" max="2" width="18.5703125" bestFit="1" customWidth="1"/>
    <col min="3" max="3" width="16.5703125" customWidth="1"/>
    <col min="4" max="4" width="36.140625" customWidth="1"/>
    <col min="5" max="5" width="20.28515625" bestFit="1" customWidth="1"/>
    <col min="6" max="6" width="15.85546875" bestFit="1" customWidth="1"/>
    <col min="7" max="7" width="14.28515625" bestFit="1" customWidth="1"/>
    <col min="8" max="8" width="16.28515625" bestFit="1" customWidth="1"/>
    <col min="9" max="11" width="10.5703125" bestFit="1" customWidth="1"/>
    <col min="12" max="12" width="11.5703125" bestFit="1" customWidth="1"/>
  </cols>
  <sheetData>
    <row r="1" spans="1:13" s="3" customFormat="1" x14ac:dyDescent="0.25">
      <c r="A1" s="49" t="s">
        <v>5</v>
      </c>
      <c r="B1" s="49"/>
      <c r="C1" s="49"/>
      <c r="D1" s="50" t="s">
        <v>152</v>
      </c>
      <c r="E1" s="50" t="s">
        <v>6</v>
      </c>
      <c r="F1" s="50" t="s">
        <v>7</v>
      </c>
      <c r="G1" s="50" t="s">
        <v>8</v>
      </c>
      <c r="H1" s="50" t="s">
        <v>9</v>
      </c>
      <c r="I1" s="50" t="s">
        <v>10</v>
      </c>
      <c r="J1" s="50" t="s">
        <v>11</v>
      </c>
      <c r="K1" s="50" t="s">
        <v>12</v>
      </c>
      <c r="L1" s="40" t="s">
        <v>3</v>
      </c>
      <c r="M1" s="1"/>
    </row>
    <row r="2" spans="1:13" s="4" customForma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1"/>
      <c r="M2" s="1"/>
    </row>
    <row r="3" spans="1:13" s="4" customFormat="1" x14ac:dyDescent="0.25">
      <c r="A3" s="51"/>
      <c r="B3" s="52"/>
      <c r="C3" s="53"/>
      <c r="D3" s="53"/>
      <c r="E3" s="49"/>
      <c r="F3" s="49"/>
      <c r="G3" s="49"/>
      <c r="H3" s="49"/>
      <c r="I3" s="49"/>
      <c r="J3" s="49"/>
      <c r="K3" s="49"/>
      <c r="L3" s="1"/>
      <c r="M3" s="1"/>
    </row>
    <row r="4" spans="1:13" s="4" customFormat="1" x14ac:dyDescent="0.25">
      <c r="A4" s="51"/>
      <c r="B4" s="52"/>
      <c r="C4" s="53"/>
      <c r="D4" s="54"/>
      <c r="E4" s="54"/>
      <c r="F4" s="54"/>
      <c r="G4" s="54"/>
      <c r="H4" s="54"/>
      <c r="I4" s="54"/>
      <c r="J4" s="49"/>
      <c r="K4" s="49"/>
      <c r="L4" s="1"/>
      <c r="M4" s="1"/>
    </row>
    <row r="5" spans="1:13" s="4" customFormat="1" x14ac:dyDescent="0.25">
      <c r="A5" s="51"/>
      <c r="B5" s="52"/>
      <c r="C5" s="53"/>
      <c r="D5" s="55"/>
      <c r="E5" s="49"/>
      <c r="F5" s="49"/>
      <c r="G5" s="49"/>
      <c r="H5" s="49"/>
      <c r="I5" s="49"/>
      <c r="J5" s="49"/>
      <c r="K5" s="49"/>
      <c r="L5" s="1"/>
      <c r="M5" s="1"/>
    </row>
    <row r="6" spans="1:13" s="4" customFormat="1" x14ac:dyDescent="0.25">
      <c r="A6" s="51"/>
      <c r="B6" s="48" t="s">
        <v>184</v>
      </c>
      <c r="C6" s="53"/>
      <c r="D6" s="56">
        <v>81.900000000000006</v>
      </c>
      <c r="E6" s="56">
        <v>11.6</v>
      </c>
      <c r="F6" s="56">
        <v>5.5</v>
      </c>
      <c r="G6" s="56">
        <v>31.4</v>
      </c>
      <c r="H6" s="56">
        <v>9.3000000000000007</v>
      </c>
      <c r="I6" s="56">
        <v>9.8000000000000007</v>
      </c>
      <c r="J6" s="56">
        <v>41.5</v>
      </c>
      <c r="K6" s="56">
        <v>45.3</v>
      </c>
      <c r="L6" s="56">
        <f>SUM(D6:K6)</f>
        <v>236.3</v>
      </c>
      <c r="M6" s="1"/>
    </row>
    <row r="7" spans="1:13" s="4" customFormat="1" x14ac:dyDescent="0.25">
      <c r="A7" s="53"/>
      <c r="B7" s="48" t="s">
        <v>182</v>
      </c>
      <c r="C7" s="53"/>
      <c r="D7" s="56">
        <v>103.7</v>
      </c>
      <c r="E7" s="56">
        <v>19.600000000000001</v>
      </c>
      <c r="F7" s="56">
        <v>7.2</v>
      </c>
      <c r="G7" s="56">
        <v>61</v>
      </c>
      <c r="H7" s="56">
        <v>15.2</v>
      </c>
      <c r="I7" s="56">
        <v>25.1</v>
      </c>
      <c r="J7" s="56">
        <v>87</v>
      </c>
      <c r="K7" s="56">
        <v>97.4</v>
      </c>
      <c r="L7" s="56">
        <f t="shared" ref="L7:L12" si="0">SUM(D7:K7)</f>
        <v>416.19999999999993</v>
      </c>
      <c r="M7" s="1"/>
    </row>
    <row r="8" spans="1:13" s="4" customFormat="1" x14ac:dyDescent="0.25">
      <c r="A8" s="53"/>
      <c r="B8" s="48" t="s">
        <v>185</v>
      </c>
      <c r="C8" s="53"/>
      <c r="D8" s="56">
        <v>100</v>
      </c>
      <c r="E8" s="56">
        <v>14.8</v>
      </c>
      <c r="F8" s="56">
        <v>1.3</v>
      </c>
      <c r="G8" s="56">
        <v>40.5</v>
      </c>
      <c r="H8" s="56">
        <v>4.7</v>
      </c>
      <c r="I8" s="56">
        <v>17.899999999999999</v>
      </c>
      <c r="J8" s="56">
        <v>38.4</v>
      </c>
      <c r="K8" s="56">
        <v>44.7</v>
      </c>
      <c r="L8" s="56">
        <f t="shared" si="0"/>
        <v>262.3</v>
      </c>
      <c r="M8" s="1"/>
    </row>
    <row r="9" spans="1:13" s="4" customFormat="1" x14ac:dyDescent="0.25">
      <c r="A9" s="53"/>
      <c r="B9" s="48" t="s">
        <v>186</v>
      </c>
      <c r="C9" s="53"/>
      <c r="D9" s="56">
        <v>78.8</v>
      </c>
      <c r="E9" s="56">
        <v>15.5</v>
      </c>
      <c r="F9" s="56">
        <v>4.2</v>
      </c>
      <c r="G9" s="56">
        <v>57.1</v>
      </c>
      <c r="H9" s="56">
        <v>7.1</v>
      </c>
      <c r="I9" s="56">
        <v>25.2</v>
      </c>
      <c r="J9" s="56">
        <v>48.7</v>
      </c>
      <c r="K9" s="56">
        <v>40.6</v>
      </c>
      <c r="L9" s="56">
        <f t="shared" si="0"/>
        <v>277.2</v>
      </c>
      <c r="M9" s="1"/>
    </row>
    <row r="10" spans="1:13" s="4" customFormat="1" x14ac:dyDescent="0.25">
      <c r="A10" s="53"/>
      <c r="B10" s="48" t="s">
        <v>187</v>
      </c>
      <c r="C10" s="53"/>
      <c r="D10" s="56">
        <v>107.3</v>
      </c>
      <c r="E10" s="56">
        <v>21.3</v>
      </c>
      <c r="F10" s="56">
        <v>5.4</v>
      </c>
      <c r="G10" s="56">
        <v>69.7</v>
      </c>
      <c r="H10" s="56">
        <v>11.3</v>
      </c>
      <c r="I10" s="56">
        <v>26.7</v>
      </c>
      <c r="J10" s="56">
        <v>68</v>
      </c>
      <c r="K10" s="56">
        <v>94.4</v>
      </c>
      <c r="L10" s="56">
        <f t="shared" si="0"/>
        <v>404.1</v>
      </c>
      <c r="M10" s="1"/>
    </row>
    <row r="11" spans="1:13" s="4" customFormat="1" x14ac:dyDescent="0.25">
      <c r="A11" s="53"/>
      <c r="B11" s="48" t="s">
        <v>188</v>
      </c>
      <c r="C11" s="53"/>
      <c r="D11" s="56">
        <v>111.8</v>
      </c>
      <c r="E11" s="56">
        <v>22.6</v>
      </c>
      <c r="F11" s="56">
        <v>6</v>
      </c>
      <c r="G11" s="56">
        <v>84</v>
      </c>
      <c r="H11" s="56">
        <v>12.3</v>
      </c>
      <c r="I11" s="56">
        <v>44.2</v>
      </c>
      <c r="J11" s="56">
        <v>105</v>
      </c>
      <c r="K11" s="56">
        <v>119.5</v>
      </c>
      <c r="L11" s="56">
        <f t="shared" si="0"/>
        <v>505.40000000000003</v>
      </c>
      <c r="M11" s="1"/>
    </row>
    <row r="12" spans="1:13" s="4" customFormat="1" x14ac:dyDescent="0.25">
      <c r="A12" s="51"/>
      <c r="B12" s="48" t="s">
        <v>189</v>
      </c>
      <c r="C12" s="49"/>
      <c r="D12" s="56">
        <v>124.4</v>
      </c>
      <c r="E12" s="56">
        <v>23.8</v>
      </c>
      <c r="F12" s="56">
        <v>6.7</v>
      </c>
      <c r="G12" s="56">
        <v>89.5</v>
      </c>
      <c r="H12" s="56">
        <v>13.4</v>
      </c>
      <c r="I12" s="56">
        <v>35.200000000000003</v>
      </c>
      <c r="J12" s="56">
        <v>91.9</v>
      </c>
      <c r="K12" s="56">
        <v>94.3</v>
      </c>
      <c r="L12" s="56">
        <f t="shared" si="0"/>
        <v>479.2</v>
      </c>
      <c r="M12" s="1"/>
    </row>
    <row r="13" spans="1:13" s="4" customFormat="1" x14ac:dyDescent="0.25">
      <c r="A13" s="51"/>
      <c r="B13" s="116" t="s">
        <v>181</v>
      </c>
      <c r="C13" s="49"/>
      <c r="D13" s="56">
        <v>51.3</v>
      </c>
      <c r="E13" s="56">
        <v>8.6</v>
      </c>
      <c r="F13" s="56">
        <v>3.2</v>
      </c>
      <c r="G13" s="56">
        <v>30.8</v>
      </c>
      <c r="H13" s="56">
        <v>6.4</v>
      </c>
      <c r="I13" s="56">
        <v>6.6</v>
      </c>
      <c r="J13" s="56">
        <v>30.1</v>
      </c>
      <c r="K13" s="56">
        <v>18.8</v>
      </c>
      <c r="L13" s="56">
        <f>SUM(D13:K13)</f>
        <v>155.80000000000001</v>
      </c>
      <c r="M13" s="1"/>
    </row>
    <row r="14" spans="1:13" s="4" customFormat="1" x14ac:dyDescent="0.25">
      <c r="A14" s="51"/>
      <c r="B14" s="116" t="s">
        <v>183</v>
      </c>
      <c r="C14" s="49"/>
      <c r="D14" s="56">
        <v>62.7</v>
      </c>
      <c r="E14" s="56">
        <v>13.1</v>
      </c>
      <c r="F14" s="56">
        <v>9.4</v>
      </c>
      <c r="G14" s="56">
        <v>61.6</v>
      </c>
      <c r="H14" s="56">
        <v>12.3</v>
      </c>
      <c r="I14" s="56">
        <v>14.8</v>
      </c>
      <c r="J14" s="56">
        <v>75.8</v>
      </c>
      <c r="K14" s="56">
        <v>52.5</v>
      </c>
      <c r="L14" s="56">
        <f>SUM(D14:K14)</f>
        <v>302.20000000000005</v>
      </c>
      <c r="M14" s="1"/>
    </row>
    <row r="15" spans="1:13" s="4" customFormat="1" x14ac:dyDescent="0.25">
      <c r="A15" s="51"/>
      <c r="B15" s="52"/>
      <c r="C15" s="49"/>
      <c r="D15" s="98"/>
      <c r="E15" s="98"/>
      <c r="F15" s="98"/>
      <c r="G15" s="98"/>
      <c r="H15" s="98"/>
      <c r="I15" s="98"/>
      <c r="J15" s="98"/>
      <c r="K15" s="98"/>
      <c r="L15" s="98"/>
      <c r="M15" s="1"/>
    </row>
    <row r="16" spans="1:13" s="4" customFormat="1" x14ac:dyDescent="0.25">
      <c r="A16" s="51"/>
      <c r="B16" s="52"/>
      <c r="C16" s="49"/>
      <c r="D16" s="93"/>
      <c r="E16" s="49"/>
      <c r="F16" s="49"/>
      <c r="G16" s="93"/>
      <c r="H16" s="49"/>
      <c r="I16" s="49"/>
      <c r="J16" s="49"/>
      <c r="K16" s="49"/>
      <c r="L16" s="1"/>
      <c r="M16" s="1"/>
    </row>
    <row r="17" spans="1:13" s="4" customFormat="1" x14ac:dyDescent="0.25">
      <c r="A17" s="57" t="s">
        <v>13</v>
      </c>
      <c r="B17" s="52"/>
      <c r="C17" s="49"/>
      <c r="D17" s="98"/>
      <c r="E17" s="51"/>
      <c r="F17" s="98"/>
      <c r="G17" s="98"/>
      <c r="H17" s="51"/>
      <c r="I17" s="51"/>
      <c r="J17" s="51"/>
      <c r="K17" s="51"/>
      <c r="L17" s="1"/>
      <c r="M17" s="1"/>
    </row>
    <row r="18" spans="1:13" s="4" customFormat="1" x14ac:dyDescent="0.25">
      <c r="A18" s="51" t="s">
        <v>14</v>
      </c>
      <c r="B18" s="48" t="s">
        <v>184</v>
      </c>
      <c r="C18" s="53"/>
      <c r="D18" s="56">
        <v>354.90000000000003</v>
      </c>
      <c r="E18" s="56">
        <v>50.266666666666659</v>
      </c>
      <c r="F18" s="56">
        <v>23.833333333333332</v>
      </c>
      <c r="G18" s="56">
        <v>136.06666666666666</v>
      </c>
      <c r="H18" s="56">
        <v>40.300000000000004</v>
      </c>
      <c r="I18" s="56">
        <v>42.466666666666669</v>
      </c>
      <c r="J18" s="56">
        <v>179.83333333333334</v>
      </c>
      <c r="K18" s="56">
        <v>196.29999999999998</v>
      </c>
      <c r="L18" s="56">
        <v>1023.9666666666666</v>
      </c>
      <c r="M18" s="1"/>
    </row>
    <row r="19" spans="1:13" s="4" customFormat="1" x14ac:dyDescent="0.25">
      <c r="A19" s="53" t="s">
        <v>15</v>
      </c>
      <c r="B19" s="48" t="s">
        <v>182</v>
      </c>
      <c r="C19" s="53"/>
      <c r="D19" s="56">
        <v>449.36666666666673</v>
      </c>
      <c r="E19" s="56">
        <v>84.933333333333337</v>
      </c>
      <c r="F19" s="56">
        <v>31.200000000000003</v>
      </c>
      <c r="G19" s="56">
        <v>264.33333333333331</v>
      </c>
      <c r="H19" s="56">
        <v>65.86666666666666</v>
      </c>
      <c r="I19" s="56">
        <v>108.76666666666667</v>
      </c>
      <c r="J19" s="56">
        <v>377</v>
      </c>
      <c r="K19" s="56">
        <v>422.06666666666666</v>
      </c>
      <c r="L19" s="56">
        <v>1802.2333333333333</v>
      </c>
      <c r="M19" s="1"/>
    </row>
    <row r="20" spans="1:13" s="4" customFormat="1" x14ac:dyDescent="0.25">
      <c r="A20" s="53" t="s">
        <v>16</v>
      </c>
      <c r="B20" s="48" t="s">
        <v>185</v>
      </c>
      <c r="C20" s="53"/>
      <c r="D20" s="56">
        <v>433.33333333333331</v>
      </c>
      <c r="E20" s="56">
        <v>64.13333333333334</v>
      </c>
      <c r="F20" s="56">
        <v>5.6333333333333337</v>
      </c>
      <c r="G20" s="56">
        <v>175.5</v>
      </c>
      <c r="H20" s="56">
        <v>20.366666666666667</v>
      </c>
      <c r="I20" s="56">
        <v>77.566666666666663</v>
      </c>
      <c r="J20" s="56">
        <v>166.4</v>
      </c>
      <c r="K20" s="56">
        <v>193.70000000000002</v>
      </c>
      <c r="L20" s="56">
        <v>1136.6333333333332</v>
      </c>
      <c r="M20" s="1"/>
    </row>
    <row r="21" spans="1:13" s="4" customFormat="1" x14ac:dyDescent="0.25">
      <c r="A21" s="53" t="s">
        <v>17</v>
      </c>
      <c r="B21" s="48" t="s">
        <v>186</v>
      </c>
      <c r="C21" s="53"/>
      <c r="D21" s="56">
        <v>341.46666666666664</v>
      </c>
      <c r="E21" s="56">
        <v>67.166666666666671</v>
      </c>
      <c r="F21" s="56">
        <v>18.2</v>
      </c>
      <c r="G21" s="56">
        <v>247.43333333333337</v>
      </c>
      <c r="H21" s="56">
        <v>30.766666666666666</v>
      </c>
      <c r="I21" s="56">
        <v>109.19999999999999</v>
      </c>
      <c r="J21" s="56">
        <v>211.03333333333333</v>
      </c>
      <c r="K21" s="56">
        <v>175.93333333333337</v>
      </c>
      <c r="L21" s="56">
        <v>1198.1666666666667</v>
      </c>
      <c r="M21" s="1"/>
    </row>
    <row r="22" spans="1:13" s="4" customFormat="1" x14ac:dyDescent="0.25">
      <c r="A22" s="53" t="s">
        <v>18</v>
      </c>
      <c r="B22" s="48" t="s">
        <v>187</v>
      </c>
      <c r="C22" s="53"/>
      <c r="D22" s="56">
        <v>464.96666666666664</v>
      </c>
      <c r="E22" s="56">
        <v>92.300000000000011</v>
      </c>
      <c r="F22" s="56">
        <v>23.400000000000002</v>
      </c>
      <c r="G22" s="56">
        <v>302.03333333333336</v>
      </c>
      <c r="H22" s="56">
        <v>48.966666666666669</v>
      </c>
      <c r="I22" s="56">
        <v>115.69999999999999</v>
      </c>
      <c r="J22" s="56">
        <v>294.66666666666669</v>
      </c>
      <c r="K22" s="56">
        <v>409.06666666666666</v>
      </c>
      <c r="L22" s="56">
        <v>1743.3</v>
      </c>
      <c r="M22" s="1"/>
    </row>
    <row r="23" spans="1:13" s="4" customFormat="1" x14ac:dyDescent="0.25">
      <c r="A23" s="53" t="s">
        <v>19</v>
      </c>
      <c r="B23" s="48" t="s">
        <v>188</v>
      </c>
      <c r="C23" s="53"/>
      <c r="D23" s="56">
        <v>484.46666666666664</v>
      </c>
      <c r="E23" s="56">
        <v>97.933333333333337</v>
      </c>
      <c r="F23" s="56">
        <v>26</v>
      </c>
      <c r="G23" s="56">
        <v>364</v>
      </c>
      <c r="H23" s="56">
        <v>53.300000000000004</v>
      </c>
      <c r="I23" s="56">
        <v>191.53333333333333</v>
      </c>
      <c r="J23" s="56">
        <v>455</v>
      </c>
      <c r="K23" s="56">
        <v>517.83333333333337</v>
      </c>
      <c r="L23" s="56">
        <v>2178.8000000000002</v>
      </c>
      <c r="M23" s="1"/>
    </row>
    <row r="24" spans="1:13" s="4" customFormat="1" x14ac:dyDescent="0.25">
      <c r="A24" s="51" t="s">
        <v>20</v>
      </c>
      <c r="B24" s="48" t="s">
        <v>189</v>
      </c>
      <c r="C24" s="49"/>
      <c r="D24" s="56">
        <v>539.06666666666672</v>
      </c>
      <c r="E24" s="56">
        <v>103.13333333333334</v>
      </c>
      <c r="F24" s="56">
        <v>29.033333333333335</v>
      </c>
      <c r="G24" s="56">
        <v>387.83333333333331</v>
      </c>
      <c r="H24" s="56">
        <v>58.06666666666667</v>
      </c>
      <c r="I24" s="56">
        <v>152.53333333333333</v>
      </c>
      <c r="J24" s="56">
        <v>398.23333333333335</v>
      </c>
      <c r="K24" s="56">
        <v>408.63333333333327</v>
      </c>
      <c r="L24" s="56">
        <v>2063.9666666666667</v>
      </c>
      <c r="M24" s="1"/>
    </row>
    <row r="25" spans="1:13" x14ac:dyDescent="0.25">
      <c r="A25" s="51" t="s">
        <v>179</v>
      </c>
      <c r="B25" s="116" t="s">
        <v>181</v>
      </c>
      <c r="C25" s="1"/>
      <c r="D25" s="56">
        <v>222.29999999999998</v>
      </c>
      <c r="E25" s="56">
        <v>37.266666666666666</v>
      </c>
      <c r="F25" s="56">
        <v>13.866666666666667</v>
      </c>
      <c r="G25" s="56">
        <v>133.46666666666667</v>
      </c>
      <c r="H25" s="56">
        <v>27.733333333333334</v>
      </c>
      <c r="I25" s="56">
        <v>28.599999999999998</v>
      </c>
      <c r="J25" s="56">
        <v>130.43333333333334</v>
      </c>
      <c r="K25" s="56">
        <v>81.466666666666669</v>
      </c>
      <c r="L25" s="56">
        <f>SUM(D25:K25)</f>
        <v>675.13333333333344</v>
      </c>
      <c r="M25" s="1"/>
    </row>
    <row r="26" spans="1:13" x14ac:dyDescent="0.25">
      <c r="A26" s="51" t="s">
        <v>180</v>
      </c>
      <c r="B26" s="116" t="s">
        <v>183</v>
      </c>
      <c r="C26" s="1"/>
      <c r="D26" s="56">
        <v>271.7</v>
      </c>
      <c r="E26" s="56">
        <v>56.766666666666659</v>
      </c>
      <c r="F26" s="56">
        <v>40.733333333333334</v>
      </c>
      <c r="G26" s="56">
        <v>266.93333333333334</v>
      </c>
      <c r="H26" s="56">
        <v>53.300000000000004</v>
      </c>
      <c r="I26" s="56">
        <v>64.13333333333334</v>
      </c>
      <c r="J26" s="56">
        <v>328.46666666666664</v>
      </c>
      <c r="K26" s="56">
        <v>227.5</v>
      </c>
      <c r="L26" s="56">
        <f>SUM(D26:K26)</f>
        <v>1309.5333333333333</v>
      </c>
      <c r="M26" s="1"/>
    </row>
    <row r="27" spans="1:13" x14ac:dyDescent="0.25">
      <c r="D27" s="114"/>
      <c r="E27" s="114"/>
      <c r="F27" s="114"/>
      <c r="G27" s="114"/>
      <c r="H27" s="114"/>
      <c r="I27" s="114"/>
      <c r="J27" s="114"/>
      <c r="K27" s="114"/>
    </row>
    <row r="28" spans="1:13" x14ac:dyDescent="0.25"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3" x14ac:dyDescent="0.25">
      <c r="D29" s="117"/>
      <c r="E29" s="117"/>
      <c r="F29" s="117"/>
      <c r="G29" s="117"/>
      <c r="H29" s="117"/>
      <c r="I29" s="117"/>
      <c r="J29" s="117"/>
      <c r="K29" s="117"/>
      <c r="L29" s="117"/>
    </row>
    <row r="30" spans="1:13" x14ac:dyDescent="0.25"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3" x14ac:dyDescent="0.25"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3" x14ac:dyDescent="0.25">
      <c r="D32" s="117"/>
      <c r="E32" s="117"/>
      <c r="F32" s="117"/>
      <c r="G32" s="117"/>
      <c r="H32" s="117"/>
      <c r="I32" s="117"/>
      <c r="J32" s="117"/>
      <c r="K32" s="117"/>
      <c r="L32" s="117"/>
    </row>
    <row r="33" spans="4:12" x14ac:dyDescent="0.25">
      <c r="D33" s="117"/>
      <c r="E33" s="117"/>
      <c r="F33" s="117"/>
      <c r="G33" s="117"/>
      <c r="H33" s="117"/>
      <c r="I33" s="117"/>
      <c r="J33" s="117"/>
      <c r="K33" s="117"/>
      <c r="L33" s="117"/>
    </row>
    <row r="34" spans="4:12" x14ac:dyDescent="0.25">
      <c r="D34" s="117"/>
      <c r="E34" s="117"/>
      <c r="F34" s="117"/>
      <c r="G34" s="117"/>
      <c r="H34" s="117"/>
      <c r="I34" s="117"/>
      <c r="J34" s="117"/>
      <c r="K34" s="117"/>
      <c r="L34" s="117"/>
    </row>
    <row r="35" spans="4:12" x14ac:dyDescent="0.25">
      <c r="D35" s="117"/>
      <c r="E35" s="117"/>
      <c r="F35" s="117"/>
      <c r="G35" s="117"/>
      <c r="H35" s="117"/>
      <c r="I35" s="117"/>
      <c r="J35" s="117"/>
      <c r="K35" s="117"/>
      <c r="L35" s="117"/>
    </row>
    <row r="36" spans="4:12" x14ac:dyDescent="0.25">
      <c r="D36" s="117"/>
      <c r="E36" s="117"/>
      <c r="F36" s="117"/>
      <c r="G36" s="117"/>
      <c r="H36" s="117"/>
      <c r="I36" s="117"/>
      <c r="J36" s="117"/>
      <c r="K36" s="117"/>
      <c r="L36" s="117"/>
    </row>
    <row r="37" spans="4:12" x14ac:dyDescent="0.25">
      <c r="D37" s="117"/>
      <c r="E37" s="117"/>
      <c r="F37" s="117"/>
      <c r="G37" s="117"/>
      <c r="H37" s="117"/>
      <c r="I37" s="117"/>
      <c r="J37" s="117"/>
      <c r="K37" s="117"/>
      <c r="L37" s="118"/>
    </row>
    <row r="38" spans="4:12" x14ac:dyDescent="0.25">
      <c r="D38" s="117"/>
      <c r="E38" s="117"/>
      <c r="F38" s="117"/>
      <c r="G38" s="117"/>
      <c r="H38" s="117"/>
      <c r="I38" s="117"/>
      <c r="J38" s="117"/>
      <c r="K38" s="117"/>
      <c r="L38" s="118"/>
    </row>
    <row r="39" spans="4:12" x14ac:dyDescent="0.25">
      <c r="D39" s="117"/>
      <c r="E39" s="117"/>
      <c r="F39" s="117"/>
      <c r="G39" s="117"/>
      <c r="H39" s="117"/>
      <c r="I39" s="117"/>
      <c r="J39" s="117"/>
      <c r="K39" s="117"/>
      <c r="L39" s="117"/>
    </row>
    <row r="40" spans="4:12" x14ac:dyDescent="0.25">
      <c r="D40" s="117"/>
      <c r="E40" s="117"/>
      <c r="F40" s="117"/>
      <c r="G40" s="117"/>
      <c r="H40" s="117"/>
      <c r="I40" s="117"/>
      <c r="J40" s="117"/>
      <c r="K40" s="117"/>
      <c r="L40" s="117"/>
    </row>
    <row r="41" spans="4:12" x14ac:dyDescent="0.25">
      <c r="D41" s="117"/>
      <c r="E41" s="117"/>
      <c r="F41" s="117"/>
      <c r="G41" s="117"/>
      <c r="H41" s="117"/>
      <c r="I41" s="117"/>
      <c r="J41" s="117"/>
      <c r="K41" s="117"/>
      <c r="L41" s="117"/>
    </row>
    <row r="42" spans="4:12" x14ac:dyDescent="0.25">
      <c r="D42" s="117"/>
      <c r="E42" s="117"/>
      <c r="F42" s="117"/>
      <c r="G42" s="117"/>
      <c r="H42" s="117"/>
      <c r="I42" s="117"/>
      <c r="J42" s="117"/>
      <c r="K42" s="117"/>
      <c r="L42" s="117"/>
    </row>
    <row r="43" spans="4:12" x14ac:dyDescent="0.25">
      <c r="D43" s="117"/>
      <c r="E43" s="117"/>
      <c r="F43" s="117"/>
      <c r="G43" s="117"/>
      <c r="H43" s="117"/>
      <c r="I43" s="117"/>
      <c r="J43" s="117"/>
      <c r="K43" s="117"/>
      <c r="L43" s="117"/>
    </row>
    <row r="44" spans="4:12" x14ac:dyDescent="0.25">
      <c r="D44" s="117"/>
      <c r="E44" s="117"/>
      <c r="F44" s="117"/>
      <c r="G44" s="117"/>
      <c r="H44" s="117"/>
      <c r="I44" s="117"/>
      <c r="J44" s="117"/>
      <c r="K44" s="117"/>
      <c r="L44" s="117"/>
    </row>
    <row r="45" spans="4:12" x14ac:dyDescent="0.25">
      <c r="D45" s="117"/>
      <c r="E45" s="117"/>
      <c r="F45" s="117"/>
      <c r="G45" s="117"/>
      <c r="H45" s="117"/>
      <c r="I45" s="117"/>
      <c r="J45" s="117"/>
      <c r="K45" s="117"/>
      <c r="L45" s="117"/>
    </row>
    <row r="46" spans="4:12" x14ac:dyDescent="0.25">
      <c r="D46" s="117"/>
      <c r="E46" s="117"/>
      <c r="F46" s="117"/>
      <c r="G46" s="117"/>
      <c r="H46" s="117"/>
      <c r="I46" s="117"/>
      <c r="J46" s="117"/>
      <c r="K46" s="117"/>
      <c r="L46" s="117"/>
    </row>
    <row r="47" spans="4:12" x14ac:dyDescent="0.25">
      <c r="D47" s="117"/>
      <c r="E47" s="117"/>
      <c r="F47" s="117"/>
      <c r="G47" s="117"/>
      <c r="H47" s="117"/>
      <c r="I47" s="117"/>
      <c r="J47" s="117"/>
      <c r="K47" s="117"/>
      <c r="L47" s="117"/>
    </row>
    <row r="48" spans="4:12" x14ac:dyDescent="0.25">
      <c r="D48" s="117"/>
      <c r="E48" s="119"/>
      <c r="F48" s="119"/>
      <c r="G48" s="119"/>
      <c r="H48" s="119"/>
      <c r="I48" s="119"/>
      <c r="J48" s="119"/>
      <c r="K48" s="119"/>
      <c r="L48" s="119"/>
    </row>
    <row r="49" spans="4:12" x14ac:dyDescent="0.25">
      <c r="D49" s="119"/>
      <c r="E49" s="119"/>
      <c r="F49" s="119"/>
      <c r="G49" s="119"/>
      <c r="H49" s="119"/>
      <c r="I49" s="119"/>
      <c r="J49" s="119"/>
      <c r="K49" s="119"/>
      <c r="L49" s="119"/>
    </row>
    <row r="50" spans="4:12" x14ac:dyDescent="0.25">
      <c r="D50" s="119"/>
      <c r="E50" s="119"/>
      <c r="F50" s="119"/>
      <c r="G50" s="119"/>
      <c r="H50" s="119"/>
      <c r="I50" s="119"/>
      <c r="J50" s="119"/>
      <c r="K50" s="119"/>
      <c r="L50" s="119"/>
    </row>
    <row r="51" spans="4:12" x14ac:dyDescent="0.25">
      <c r="D51" s="119"/>
      <c r="E51" s="119"/>
      <c r="F51" s="119"/>
      <c r="G51" s="119"/>
      <c r="H51" s="119"/>
      <c r="I51" s="119"/>
      <c r="J51" s="119"/>
      <c r="K51" s="119"/>
      <c r="L51" s="119"/>
    </row>
    <row r="52" spans="4:12" x14ac:dyDescent="0.25">
      <c r="D52" s="119"/>
      <c r="E52" s="119"/>
      <c r="F52" s="119"/>
      <c r="G52" s="119"/>
      <c r="H52" s="119"/>
      <c r="I52" s="119"/>
      <c r="J52" s="119"/>
      <c r="K52" s="119"/>
      <c r="L52" s="119"/>
    </row>
    <row r="53" spans="4:12" x14ac:dyDescent="0.25">
      <c r="D53" s="119"/>
      <c r="E53" s="119"/>
      <c r="F53" s="119"/>
      <c r="G53" s="119"/>
      <c r="H53" s="119"/>
      <c r="I53" s="119"/>
      <c r="J53" s="119"/>
      <c r="K53" s="119"/>
      <c r="L53" s="119"/>
    </row>
    <row r="54" spans="4:12" x14ac:dyDescent="0.25">
      <c r="D54" s="119"/>
      <c r="E54" s="119"/>
      <c r="F54" s="119"/>
      <c r="G54" s="119"/>
      <c r="H54" s="119"/>
      <c r="I54" s="119"/>
      <c r="J54" s="119"/>
      <c r="K54" s="119"/>
      <c r="L54" s="119"/>
    </row>
    <row r="55" spans="4:12" x14ac:dyDescent="0.25">
      <c r="D55" s="119"/>
      <c r="E55" s="119"/>
      <c r="F55" s="119"/>
      <c r="G55" s="119"/>
      <c r="H55" s="119"/>
      <c r="I55" s="119"/>
      <c r="J55" s="119"/>
      <c r="K55" s="119"/>
      <c r="L55" s="119"/>
    </row>
    <row r="56" spans="4:12" x14ac:dyDescent="0.25">
      <c r="D56" s="119"/>
      <c r="E56" s="119"/>
      <c r="F56" s="119"/>
      <c r="G56" s="119"/>
      <c r="H56" s="119"/>
      <c r="I56" s="119"/>
      <c r="J56" s="119"/>
      <c r="K56" s="119"/>
      <c r="L56" s="119"/>
    </row>
    <row r="57" spans="4:12" x14ac:dyDescent="0.25">
      <c r="D57" s="119"/>
      <c r="E57" s="119"/>
      <c r="F57" s="119"/>
      <c r="G57" s="119"/>
      <c r="H57" s="119"/>
      <c r="I57" s="119"/>
      <c r="J57" s="119"/>
      <c r="K57" s="119"/>
      <c r="L57" s="119"/>
    </row>
    <row r="58" spans="4:12" x14ac:dyDescent="0.25">
      <c r="D58" s="119"/>
      <c r="E58" s="119"/>
      <c r="F58" s="119"/>
      <c r="G58" s="119"/>
      <c r="H58" s="119"/>
      <c r="I58" s="119"/>
      <c r="J58" s="119"/>
      <c r="K58" s="119"/>
      <c r="L58" s="119"/>
    </row>
    <row r="59" spans="4:12" x14ac:dyDescent="0.25">
      <c r="D59" s="115"/>
    </row>
    <row r="60" spans="4:12" x14ac:dyDescent="0.25">
      <c r="D60" s="115"/>
    </row>
  </sheetData>
  <sheetProtection algorithmName="SHA-512" hashValue="CMYQuWtOiOk+jO4kLj1wAwOWLnOIixlePOoCSDkoGFEN6zt+Be1zPyhEO7bMLCqGrqrlqIqz20l6bn/KPBWVfw==" saltValue="7bx3ZZvVgkcenayxdk35qg==" spinCount="100000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14"/>
  <sheetViews>
    <sheetView workbookViewId="0">
      <selection activeCell="A2" sqref="A2"/>
    </sheetView>
  </sheetViews>
  <sheetFormatPr defaultRowHeight="15" x14ac:dyDescent="0.25"/>
  <cols>
    <col min="1" max="1" width="54.5703125" bestFit="1" customWidth="1"/>
    <col min="2" max="2" width="12.42578125" bestFit="1" customWidth="1"/>
    <col min="3" max="3" width="11.42578125" bestFit="1" customWidth="1"/>
    <col min="4" max="4" width="14.85546875" bestFit="1" customWidth="1"/>
    <col min="5" max="5" width="17" bestFit="1" customWidth="1"/>
    <col min="6" max="6" width="15.7109375" bestFit="1" customWidth="1"/>
    <col min="7" max="7" width="12" bestFit="1" customWidth="1"/>
    <col min="8" max="8" width="18.7109375" bestFit="1" customWidth="1"/>
    <col min="9" max="9" width="11.140625" bestFit="1" customWidth="1"/>
    <col min="10" max="10" width="10.42578125" bestFit="1" customWidth="1"/>
    <col min="11" max="11" width="9.85546875" bestFit="1" customWidth="1"/>
    <col min="12" max="12" width="11.42578125" bestFit="1" customWidth="1"/>
  </cols>
  <sheetData>
    <row r="1" spans="1:12" x14ac:dyDescent="0.25">
      <c r="A1" t="s">
        <v>117</v>
      </c>
      <c r="B1" t="s">
        <v>118</v>
      </c>
      <c r="C1" t="s">
        <v>119</v>
      </c>
      <c r="D1" t="s">
        <v>120</v>
      </c>
      <c r="E1" t="s">
        <v>125</v>
      </c>
      <c r="F1" t="s">
        <v>121</v>
      </c>
      <c r="G1" t="s">
        <v>143</v>
      </c>
      <c r="H1" t="s">
        <v>144</v>
      </c>
      <c r="I1" t="s">
        <v>153</v>
      </c>
      <c r="J1" t="s">
        <v>154</v>
      </c>
      <c r="K1" t="s">
        <v>155</v>
      </c>
      <c r="L1" t="s">
        <v>156</v>
      </c>
    </row>
    <row r="2" spans="1:12" x14ac:dyDescent="0.25">
      <c r="A2" t="s">
        <v>157</v>
      </c>
      <c r="B2">
        <v>5.49</v>
      </c>
      <c r="C2">
        <v>5.49</v>
      </c>
      <c r="D2">
        <v>7.49</v>
      </c>
      <c r="E2" t="s">
        <v>127</v>
      </c>
      <c r="F2" t="s">
        <v>123</v>
      </c>
      <c r="G2" t="s">
        <v>145</v>
      </c>
      <c r="H2" t="s">
        <v>158</v>
      </c>
      <c r="I2">
        <v>7.49</v>
      </c>
      <c r="J2">
        <v>140</v>
      </c>
      <c r="K2">
        <v>0</v>
      </c>
      <c r="L2">
        <v>140</v>
      </c>
    </row>
    <row r="3" spans="1:12" x14ac:dyDescent="0.25">
      <c r="A3" t="s">
        <v>159</v>
      </c>
      <c r="B3">
        <v>5.49</v>
      </c>
      <c r="C3">
        <v>2.99</v>
      </c>
      <c r="D3">
        <v>5.5</v>
      </c>
      <c r="E3" t="s">
        <v>127</v>
      </c>
      <c r="F3" t="s">
        <v>124</v>
      </c>
      <c r="G3" t="s">
        <v>126</v>
      </c>
      <c r="H3" t="s">
        <v>158</v>
      </c>
      <c r="I3">
        <v>5.5</v>
      </c>
      <c r="J3">
        <v>140</v>
      </c>
      <c r="K3">
        <v>0</v>
      </c>
      <c r="L3">
        <v>140</v>
      </c>
    </row>
    <row r="4" spans="1:12" x14ac:dyDescent="0.25">
      <c r="A4" t="s">
        <v>160</v>
      </c>
      <c r="B4">
        <v>5.49</v>
      </c>
      <c r="C4">
        <v>2.99</v>
      </c>
      <c r="D4">
        <v>5.5</v>
      </c>
      <c r="E4" t="s">
        <v>127</v>
      </c>
      <c r="F4" t="s">
        <v>124</v>
      </c>
      <c r="G4" t="s">
        <v>126</v>
      </c>
      <c r="H4" t="s">
        <v>158</v>
      </c>
      <c r="I4">
        <v>5.5</v>
      </c>
      <c r="J4">
        <v>130</v>
      </c>
      <c r="K4">
        <v>1</v>
      </c>
      <c r="L4">
        <v>140</v>
      </c>
    </row>
    <row r="5" spans="1:12" x14ac:dyDescent="0.25">
      <c r="A5" t="s">
        <v>161</v>
      </c>
      <c r="B5">
        <v>5.49</v>
      </c>
      <c r="C5">
        <v>3.99</v>
      </c>
      <c r="D5">
        <v>5.99</v>
      </c>
      <c r="E5" t="s">
        <v>127</v>
      </c>
      <c r="F5" t="s">
        <v>124</v>
      </c>
      <c r="G5" t="s">
        <v>145</v>
      </c>
      <c r="H5" t="s">
        <v>158</v>
      </c>
      <c r="I5">
        <v>5.99</v>
      </c>
      <c r="J5">
        <v>140</v>
      </c>
      <c r="K5">
        <v>0</v>
      </c>
      <c r="L5">
        <v>140</v>
      </c>
    </row>
    <row r="6" spans="1:12" x14ac:dyDescent="0.25">
      <c r="A6" t="s">
        <v>227</v>
      </c>
      <c r="B6">
        <v>5.49</v>
      </c>
      <c r="C6">
        <v>3.19</v>
      </c>
      <c r="D6">
        <v>5.5</v>
      </c>
      <c r="E6" t="s">
        <v>126</v>
      </c>
      <c r="F6" t="s">
        <v>122</v>
      </c>
      <c r="G6" t="s">
        <v>126</v>
      </c>
      <c r="H6" t="s">
        <v>158</v>
      </c>
      <c r="I6">
        <v>5.5</v>
      </c>
      <c r="J6">
        <v>140</v>
      </c>
      <c r="K6">
        <v>0</v>
      </c>
      <c r="L6">
        <v>140</v>
      </c>
    </row>
    <row r="7" spans="1:12" x14ac:dyDescent="0.25">
      <c r="A7" t="s">
        <v>162</v>
      </c>
      <c r="B7">
        <v>5.49</v>
      </c>
      <c r="C7">
        <v>4.24</v>
      </c>
      <c r="D7">
        <v>6.24</v>
      </c>
      <c r="E7" t="s">
        <v>127</v>
      </c>
      <c r="F7" t="s">
        <v>124</v>
      </c>
      <c r="G7" t="s">
        <v>145</v>
      </c>
      <c r="H7" t="s">
        <v>158</v>
      </c>
      <c r="I7">
        <v>6.24</v>
      </c>
      <c r="J7">
        <v>140</v>
      </c>
      <c r="K7">
        <v>0</v>
      </c>
      <c r="L7">
        <v>140</v>
      </c>
    </row>
    <row r="8" spans="1:12" x14ac:dyDescent="0.25">
      <c r="A8" t="s">
        <v>228</v>
      </c>
      <c r="B8">
        <v>5.49</v>
      </c>
      <c r="C8">
        <v>3.79</v>
      </c>
      <c r="D8">
        <v>5.79</v>
      </c>
      <c r="E8" t="s">
        <v>127</v>
      </c>
      <c r="F8" t="s">
        <v>124</v>
      </c>
      <c r="G8" t="s">
        <v>145</v>
      </c>
      <c r="H8" t="s">
        <v>158</v>
      </c>
      <c r="I8">
        <v>5.79</v>
      </c>
      <c r="J8">
        <v>140</v>
      </c>
      <c r="K8">
        <v>0</v>
      </c>
      <c r="L8">
        <v>140</v>
      </c>
    </row>
    <row r="9" spans="1:12" x14ac:dyDescent="0.25">
      <c r="A9" t="s">
        <v>234</v>
      </c>
      <c r="B9">
        <v>5.49</v>
      </c>
      <c r="C9">
        <v>3.99</v>
      </c>
      <c r="D9">
        <v>5.99</v>
      </c>
      <c r="E9" t="s">
        <v>127</v>
      </c>
      <c r="F9" t="s">
        <v>124</v>
      </c>
      <c r="G9" t="s">
        <v>145</v>
      </c>
      <c r="H9" t="s">
        <v>146</v>
      </c>
      <c r="I9">
        <v>5.99</v>
      </c>
      <c r="J9">
        <v>140</v>
      </c>
      <c r="K9">
        <v>0</v>
      </c>
      <c r="L9">
        <v>140</v>
      </c>
    </row>
    <row r="10" spans="1:12" x14ac:dyDescent="0.25">
      <c r="A10" t="s">
        <v>235</v>
      </c>
      <c r="B10">
        <v>5.49</v>
      </c>
      <c r="C10">
        <v>3.84</v>
      </c>
      <c r="D10">
        <v>5.84</v>
      </c>
      <c r="E10" t="s">
        <v>127</v>
      </c>
      <c r="F10" t="s">
        <v>124</v>
      </c>
      <c r="G10" t="s">
        <v>145</v>
      </c>
      <c r="H10" t="s">
        <v>146</v>
      </c>
      <c r="I10">
        <v>5.84</v>
      </c>
      <c r="J10">
        <v>140</v>
      </c>
      <c r="K10">
        <v>0</v>
      </c>
      <c r="L10">
        <v>140</v>
      </c>
    </row>
    <row r="11" spans="1:12" x14ac:dyDescent="0.25">
      <c r="A11" t="s">
        <v>236</v>
      </c>
      <c r="B11">
        <v>5.49</v>
      </c>
      <c r="C11">
        <v>3.79</v>
      </c>
      <c r="D11">
        <v>5.79</v>
      </c>
      <c r="E11" t="s">
        <v>127</v>
      </c>
      <c r="F11" t="s">
        <v>124</v>
      </c>
      <c r="G11" t="s">
        <v>145</v>
      </c>
      <c r="H11" t="s">
        <v>146</v>
      </c>
      <c r="I11">
        <v>5.79</v>
      </c>
      <c r="J11">
        <v>140</v>
      </c>
      <c r="K11">
        <v>0</v>
      </c>
      <c r="L11">
        <v>140</v>
      </c>
    </row>
    <row r="12" spans="1:12" x14ac:dyDescent="0.25">
      <c r="A12" t="s">
        <v>237</v>
      </c>
      <c r="B12">
        <v>5.49</v>
      </c>
      <c r="C12">
        <v>3.99</v>
      </c>
      <c r="D12">
        <v>5.99</v>
      </c>
      <c r="E12" t="s">
        <v>127</v>
      </c>
      <c r="F12" t="s">
        <v>124</v>
      </c>
      <c r="G12" t="s">
        <v>145</v>
      </c>
      <c r="H12" t="s">
        <v>158</v>
      </c>
      <c r="I12">
        <v>5.99</v>
      </c>
      <c r="J12">
        <v>140</v>
      </c>
      <c r="K12">
        <v>0</v>
      </c>
      <c r="L12">
        <v>140</v>
      </c>
    </row>
    <row r="13" spans="1:12" x14ac:dyDescent="0.25">
      <c r="A13" t="s">
        <v>238</v>
      </c>
      <c r="B13">
        <v>5.49</v>
      </c>
      <c r="C13">
        <v>3.24</v>
      </c>
      <c r="D13">
        <v>5.5</v>
      </c>
      <c r="E13" t="s">
        <v>127</v>
      </c>
      <c r="F13" t="s">
        <v>124</v>
      </c>
      <c r="G13" t="s">
        <v>145</v>
      </c>
      <c r="H13" t="s">
        <v>158</v>
      </c>
      <c r="I13">
        <v>5.5</v>
      </c>
      <c r="J13">
        <v>140</v>
      </c>
      <c r="K13">
        <v>0</v>
      </c>
      <c r="L13">
        <v>140</v>
      </c>
    </row>
    <row r="14" spans="1:12" x14ac:dyDescent="0.25">
      <c r="A14" t="s">
        <v>239</v>
      </c>
      <c r="B14">
        <v>5.49</v>
      </c>
      <c r="C14">
        <v>3.29</v>
      </c>
      <c r="D14">
        <v>5.5</v>
      </c>
      <c r="E14" t="s">
        <v>127</v>
      </c>
      <c r="F14" t="s">
        <v>124</v>
      </c>
      <c r="G14" t="s">
        <v>145</v>
      </c>
      <c r="H14" t="s">
        <v>158</v>
      </c>
      <c r="I14">
        <v>5.5</v>
      </c>
      <c r="J14">
        <v>140</v>
      </c>
      <c r="K14">
        <v>0</v>
      </c>
      <c r="L14">
        <v>140</v>
      </c>
    </row>
  </sheetData>
  <sheetProtection algorithmName="SHA-512" hashValue="+ijLEmTA+cc4/ErCCjltyD3vzQamCAmMn9fC+AFF3AHta9wO8WFxKkb9Zdo+Q8vqQwVAzV5M1utFkKmVYwB8Eg==" saltValue="jZ2/BNAOEH2xeFGaZOSSIg==" spinCount="100000" sheet="1" objects="1" scenarios="1" formatCells="0" formatColumns="0" formatRows="0" sort="0" autoFilter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Income</vt:lpstr>
      <vt:lpstr>Expenditure</vt:lpstr>
      <vt:lpstr>Results</vt:lpstr>
      <vt:lpstr>Calc</vt:lpstr>
      <vt:lpstr>Lists</vt:lpstr>
      <vt:lpstr>Income Calculator</vt:lpstr>
      <vt:lpstr>Part &amp; Part</vt:lpstr>
      <vt:lpstr>ONS Data</vt:lpstr>
      <vt:lpstr>BTL Product Data</vt:lpstr>
      <vt:lpstr>ONS Data BTL</vt:lpstr>
      <vt:lpstr>Income Multiplier</vt:lpstr>
      <vt:lpstr>GreaterLDN</vt:lpstr>
      <vt:lpstr>Expenditure!Print_Area</vt:lpstr>
      <vt:lpstr>Income!Print_Area</vt:lpstr>
      <vt:lpstr>Results!Print_Area</vt:lpstr>
    </vt:vector>
  </TitlesOfParts>
  <Company>DBS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Hyde</dc:creator>
  <cp:lastModifiedBy>Lucy Foley</cp:lastModifiedBy>
  <cp:lastPrinted>2015-03-12T09:59:14Z</cp:lastPrinted>
  <dcterms:created xsi:type="dcterms:W3CDTF">2014-04-24T09:30:48Z</dcterms:created>
  <dcterms:modified xsi:type="dcterms:W3CDTF">2021-05-10T15:12:37Z</dcterms:modified>
</cp:coreProperties>
</file>